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2 เดือน\1\"/>
    </mc:Choice>
  </mc:AlternateContent>
  <bookViews>
    <workbookView xWindow="0" yWindow="0" windowWidth="28800" windowHeight="10680"/>
  </bookViews>
  <sheets>
    <sheet name="1.1.4" sheetId="1" r:id="rId1"/>
    <sheet name="รายละเอียด 1.1.4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ฟ" localSheetId="1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3" i="2" l="1"/>
  <c r="E113" i="2"/>
  <c r="F112" i="2"/>
  <c r="G112" i="2" s="1"/>
  <c r="I112" i="2" s="1"/>
  <c r="F111" i="2"/>
  <c r="G111" i="2" s="1"/>
  <c r="G110" i="2"/>
  <c r="I110" i="2" s="1"/>
  <c r="F110" i="2"/>
  <c r="F113" i="2" s="1"/>
  <c r="H108" i="2"/>
  <c r="E108" i="2"/>
  <c r="G107" i="2"/>
  <c r="I107" i="2" s="1"/>
  <c r="F107" i="2"/>
  <c r="F106" i="2"/>
  <c r="G106" i="2" s="1"/>
  <c r="I106" i="2" s="1"/>
  <c r="G105" i="2"/>
  <c r="I105" i="2" s="1"/>
  <c r="F105" i="2"/>
  <c r="I104" i="2"/>
  <c r="G104" i="2"/>
  <c r="F104" i="2"/>
  <c r="F103" i="2"/>
  <c r="F108" i="2" s="1"/>
  <c r="F102" i="2"/>
  <c r="G102" i="2" s="1"/>
  <c r="H100" i="2"/>
  <c r="E100" i="2"/>
  <c r="F99" i="2"/>
  <c r="G99" i="2" s="1"/>
  <c r="I99" i="2" s="1"/>
  <c r="F98" i="2"/>
  <c r="G98" i="2" s="1"/>
  <c r="I98" i="2" s="1"/>
  <c r="F97" i="2"/>
  <c r="F100" i="2" s="1"/>
  <c r="G96" i="2"/>
  <c r="I96" i="2" s="1"/>
  <c r="F96" i="2"/>
  <c r="H94" i="2"/>
  <c r="F94" i="2"/>
  <c r="G94" i="2" s="1"/>
  <c r="E94" i="2"/>
  <c r="G93" i="2"/>
  <c r="I93" i="2" s="1"/>
  <c r="F93" i="2"/>
  <c r="H91" i="2"/>
  <c r="I91" i="2" s="1"/>
  <c r="F91" i="2"/>
  <c r="E91" i="2"/>
  <c r="G90" i="2"/>
  <c r="I90" i="2" s="1"/>
  <c r="F90" i="2"/>
  <c r="F89" i="2"/>
  <c r="G89" i="2" s="1"/>
  <c r="I89" i="2" s="1"/>
  <c r="G88" i="2"/>
  <c r="G91" i="2" s="1"/>
  <c r="F88" i="2"/>
  <c r="H86" i="2"/>
  <c r="G85" i="2"/>
  <c r="I85" i="2" s="1"/>
  <c r="F85" i="2"/>
  <c r="I84" i="2"/>
  <c r="G84" i="2"/>
  <c r="F84" i="2"/>
  <c r="E83" i="2"/>
  <c r="E86" i="2" s="1"/>
  <c r="G82" i="2"/>
  <c r="I82" i="2" s="1"/>
  <c r="F82" i="2"/>
  <c r="H80" i="2"/>
  <c r="I80" i="2" s="1"/>
  <c r="G80" i="2"/>
  <c r="F80" i="2"/>
  <c r="E80" i="2"/>
  <c r="G79" i="2"/>
  <c r="I79" i="2" s="1"/>
  <c r="F79" i="2"/>
  <c r="H77" i="2"/>
  <c r="E77" i="2"/>
  <c r="G76" i="2"/>
  <c r="I76" i="2" s="1"/>
  <c r="F76" i="2"/>
  <c r="F75" i="2"/>
  <c r="G75" i="2" s="1"/>
  <c r="I75" i="2" s="1"/>
  <c r="G74" i="2"/>
  <c r="I74" i="2" s="1"/>
  <c r="F74" i="2"/>
  <c r="F73" i="2"/>
  <c r="G73" i="2" s="1"/>
  <c r="I73" i="2" s="1"/>
  <c r="F72" i="2"/>
  <c r="G72" i="2" s="1"/>
  <c r="F69" i="2"/>
  <c r="G69" i="2" s="1"/>
  <c r="I69" i="2" s="1"/>
  <c r="F68" i="2"/>
  <c r="G68" i="2" s="1"/>
  <c r="I68" i="2" s="1"/>
  <c r="F67" i="2"/>
  <c r="G67" i="2" s="1"/>
  <c r="I67" i="2" s="1"/>
  <c r="F66" i="2"/>
  <c r="G66" i="2" s="1"/>
  <c r="I66" i="2" s="1"/>
  <c r="H65" i="2"/>
  <c r="H70" i="2" s="1"/>
  <c r="F65" i="2"/>
  <c r="G65" i="2" s="1"/>
  <c r="E65" i="2"/>
  <c r="E70" i="2" s="1"/>
  <c r="F64" i="2"/>
  <c r="F70" i="2" s="1"/>
  <c r="H62" i="2"/>
  <c r="E62" i="2"/>
  <c r="F61" i="2"/>
  <c r="G61" i="2" s="1"/>
  <c r="I61" i="2" s="1"/>
  <c r="G60" i="2"/>
  <c r="I60" i="2" s="1"/>
  <c r="F60" i="2"/>
  <c r="F59" i="2"/>
  <c r="G59" i="2" s="1"/>
  <c r="I59" i="2" s="1"/>
  <c r="G58" i="2"/>
  <c r="I58" i="2" s="1"/>
  <c r="F58" i="2"/>
  <c r="I57" i="2"/>
  <c r="G57" i="2"/>
  <c r="F57" i="2"/>
  <c r="F56" i="2"/>
  <c r="G56" i="2" s="1"/>
  <c r="I56" i="2" s="1"/>
  <c r="F55" i="2"/>
  <c r="G55" i="2" s="1"/>
  <c r="I55" i="2" s="1"/>
  <c r="F54" i="2"/>
  <c r="G54" i="2" s="1"/>
  <c r="I54" i="2" s="1"/>
  <c r="F53" i="2"/>
  <c r="G53" i="2" s="1"/>
  <c r="I53" i="2" s="1"/>
  <c r="G52" i="2"/>
  <c r="I52" i="2" s="1"/>
  <c r="F52" i="2"/>
  <c r="F62" i="2" s="1"/>
  <c r="H50" i="2"/>
  <c r="E50" i="2"/>
  <c r="G49" i="2"/>
  <c r="I49" i="2" s="1"/>
  <c r="F49" i="2"/>
  <c r="F48" i="2"/>
  <c r="G48" i="2" s="1"/>
  <c r="I48" i="2" s="1"/>
  <c r="G47" i="2"/>
  <c r="I47" i="2" s="1"/>
  <c r="F47" i="2"/>
  <c r="I46" i="2"/>
  <c r="G46" i="2"/>
  <c r="F46" i="2"/>
  <c r="F45" i="2"/>
  <c r="G45" i="2" s="1"/>
  <c r="I45" i="2" s="1"/>
  <c r="F44" i="2"/>
  <c r="G44" i="2" s="1"/>
  <c r="I44" i="2" s="1"/>
  <c r="F43" i="2"/>
  <c r="G43" i="2" s="1"/>
  <c r="I43" i="2" s="1"/>
  <c r="F42" i="2"/>
  <c r="G42" i="2" s="1"/>
  <c r="G41" i="2"/>
  <c r="I41" i="2" s="1"/>
  <c r="F41" i="2"/>
  <c r="H39" i="2"/>
  <c r="E39" i="2"/>
  <c r="G38" i="2"/>
  <c r="I38" i="2" s="1"/>
  <c r="F38" i="2"/>
  <c r="F37" i="2"/>
  <c r="G37" i="2" s="1"/>
  <c r="I37" i="2" s="1"/>
  <c r="G36" i="2"/>
  <c r="I36" i="2" s="1"/>
  <c r="F36" i="2"/>
  <c r="I35" i="2"/>
  <c r="G35" i="2"/>
  <c r="F35" i="2"/>
  <c r="F34" i="2"/>
  <c r="F39" i="2" s="1"/>
  <c r="F33" i="2"/>
  <c r="G33" i="2" s="1"/>
  <c r="I33" i="2" s="1"/>
  <c r="F32" i="2"/>
  <c r="G32" i="2" s="1"/>
  <c r="H30" i="2"/>
  <c r="E30" i="2"/>
  <c r="E114" i="2" s="1"/>
  <c r="F29" i="2"/>
  <c r="G29" i="2" s="1"/>
  <c r="I29" i="2" s="1"/>
  <c r="F28" i="2"/>
  <c r="G28" i="2" s="1"/>
  <c r="I28" i="2" s="1"/>
  <c r="G27" i="2"/>
  <c r="I27" i="2" s="1"/>
  <c r="F27" i="2"/>
  <c r="F26" i="2"/>
  <c r="G26" i="2" s="1"/>
  <c r="I26" i="2" s="1"/>
  <c r="G25" i="2"/>
  <c r="I25" i="2" s="1"/>
  <c r="F25" i="2"/>
  <c r="I24" i="2"/>
  <c r="G24" i="2"/>
  <c r="F24" i="2"/>
  <c r="F23" i="2"/>
  <c r="G23" i="2" s="1"/>
  <c r="I23" i="2" s="1"/>
  <c r="I22" i="2"/>
  <c r="G22" i="2"/>
  <c r="I21" i="2"/>
  <c r="G21" i="2"/>
  <c r="F21" i="2"/>
  <c r="F20" i="2"/>
  <c r="G20" i="2" s="1"/>
  <c r="I20" i="2" s="1"/>
  <c r="F19" i="2"/>
  <c r="G19" i="2" s="1"/>
  <c r="I19" i="2" s="1"/>
  <c r="I18" i="2"/>
  <c r="G18" i="2"/>
  <c r="F17" i="2"/>
  <c r="G17" i="2" s="1"/>
  <c r="I17" i="2" s="1"/>
  <c r="F16" i="2"/>
  <c r="G16" i="2" s="1"/>
  <c r="I16" i="2" s="1"/>
  <c r="F15" i="2"/>
  <c r="F30" i="2" s="1"/>
  <c r="H13" i="2"/>
  <c r="H114" i="2" s="1"/>
  <c r="I12" i="2"/>
  <c r="G12" i="2"/>
  <c r="F12" i="2"/>
  <c r="F11" i="2"/>
  <c r="G11" i="2" s="1"/>
  <c r="I11" i="2" s="1"/>
  <c r="F10" i="2"/>
  <c r="G10" i="2" s="1"/>
  <c r="I10" i="2" s="1"/>
  <c r="F9" i="2"/>
  <c r="G9" i="2" s="1"/>
  <c r="I9" i="2" s="1"/>
  <c r="F8" i="2"/>
  <c r="G8" i="2" s="1"/>
  <c r="I8" i="2" s="1"/>
  <c r="G7" i="2"/>
  <c r="I7" i="2" s="1"/>
  <c r="F7" i="2"/>
  <c r="F6" i="2"/>
  <c r="F13" i="2" s="1"/>
  <c r="F41" i="1"/>
  <c r="E41" i="1"/>
  <c r="D41" i="1"/>
  <c r="C41" i="1"/>
  <c r="A41" i="1"/>
  <c r="E40" i="1"/>
  <c r="D40" i="1"/>
  <c r="C40" i="1"/>
  <c r="A40" i="1"/>
  <c r="E39" i="1"/>
  <c r="D39" i="1"/>
  <c r="C39" i="1"/>
  <c r="A39" i="1"/>
  <c r="F38" i="1"/>
  <c r="E38" i="1"/>
  <c r="D38" i="1"/>
  <c r="C38" i="1"/>
  <c r="A38" i="1"/>
  <c r="E37" i="1"/>
  <c r="D37" i="1"/>
  <c r="C37" i="1"/>
  <c r="A37" i="1"/>
  <c r="F36" i="1"/>
  <c r="E36" i="1"/>
  <c r="D36" i="1"/>
  <c r="C36" i="1"/>
  <c r="A36" i="1"/>
  <c r="E35" i="1"/>
  <c r="D35" i="1"/>
  <c r="C35" i="1"/>
  <c r="A35" i="1"/>
  <c r="E34" i="1"/>
  <c r="D34" i="1"/>
  <c r="C34" i="1"/>
  <c r="A34" i="1"/>
  <c r="F33" i="1"/>
  <c r="E33" i="1"/>
  <c r="D33" i="1"/>
  <c r="C33" i="1"/>
  <c r="A33" i="1"/>
  <c r="E32" i="1"/>
  <c r="D32" i="1"/>
  <c r="C32" i="1"/>
  <c r="A32" i="1"/>
  <c r="E31" i="1"/>
  <c r="D31" i="1"/>
  <c r="C31" i="1"/>
  <c r="A31" i="1"/>
  <c r="F30" i="1"/>
  <c r="E30" i="1"/>
  <c r="D30" i="1"/>
  <c r="C30" i="1"/>
  <c r="A30" i="1"/>
  <c r="E29" i="1"/>
  <c r="D29" i="1"/>
  <c r="C29" i="1"/>
  <c r="A29" i="1"/>
  <c r="F28" i="1"/>
  <c r="E28" i="1"/>
  <c r="D28" i="1"/>
  <c r="C28" i="1"/>
  <c r="A28" i="1"/>
  <c r="E27" i="1"/>
  <c r="D27" i="1"/>
  <c r="C27" i="1"/>
  <c r="A27" i="1"/>
  <c r="D26" i="1"/>
  <c r="C26" i="1"/>
  <c r="B26" i="1"/>
  <c r="A26" i="1"/>
  <c r="H22" i="1"/>
  <c r="I19" i="1"/>
  <c r="F19" i="1"/>
  <c r="G19" i="1" s="1"/>
  <c r="H19" i="1" s="1"/>
  <c r="E19" i="1"/>
  <c r="F18" i="1"/>
  <c r="F40" i="1" s="1"/>
  <c r="G17" i="1"/>
  <c r="H17" i="1" s="1"/>
  <c r="F17" i="1"/>
  <c r="F39" i="1" s="1"/>
  <c r="H16" i="1"/>
  <c r="G16" i="1"/>
  <c r="F16" i="1"/>
  <c r="F15" i="1"/>
  <c r="F37" i="1" s="1"/>
  <c r="F14" i="1"/>
  <c r="G14" i="1" s="1"/>
  <c r="H14" i="1" s="1"/>
  <c r="F13" i="1"/>
  <c r="G13" i="1" s="1"/>
  <c r="H13" i="1" s="1"/>
  <c r="F12" i="1"/>
  <c r="F34" i="1" s="1"/>
  <c r="G11" i="1"/>
  <c r="H11" i="1" s="1"/>
  <c r="F11" i="1"/>
  <c r="F10" i="1"/>
  <c r="F32" i="1" s="1"/>
  <c r="G9" i="1"/>
  <c r="H9" i="1" s="1"/>
  <c r="F9" i="1"/>
  <c r="F31" i="1" s="1"/>
  <c r="H8" i="1"/>
  <c r="G8" i="1"/>
  <c r="F8" i="1"/>
  <c r="F7" i="1"/>
  <c r="F29" i="1" s="1"/>
  <c r="F6" i="1"/>
  <c r="G6" i="1" s="1"/>
  <c r="H6" i="1" s="1"/>
  <c r="F5" i="1"/>
  <c r="G5" i="1" s="1"/>
  <c r="H5" i="1" s="1"/>
  <c r="G77" i="2" l="1"/>
  <c r="I72" i="2"/>
  <c r="I77" i="2"/>
  <c r="I50" i="2"/>
  <c r="G50" i="2"/>
  <c r="I42" i="2"/>
  <c r="I32" i="2"/>
  <c r="G39" i="2"/>
  <c r="I39" i="2" s="1"/>
  <c r="G113" i="2"/>
  <c r="I111" i="2"/>
  <c r="I94" i="2"/>
  <c r="I102" i="2"/>
  <c r="I113" i="2"/>
  <c r="F50" i="2"/>
  <c r="G64" i="2"/>
  <c r="F77" i="2"/>
  <c r="F83" i="2"/>
  <c r="I88" i="2"/>
  <c r="G97" i="2"/>
  <c r="G15" i="1"/>
  <c r="H15" i="1" s="1"/>
  <c r="G18" i="1"/>
  <c r="H18" i="1" s="1"/>
  <c r="F27" i="1"/>
  <c r="F35" i="1"/>
  <c r="G6" i="2"/>
  <c r="G34" i="2"/>
  <c r="I34" i="2" s="1"/>
  <c r="G103" i="2"/>
  <c r="I103" i="2" s="1"/>
  <c r="G10" i="1"/>
  <c r="H10" i="1" s="1"/>
  <c r="G15" i="2"/>
  <c r="G7" i="1"/>
  <c r="H7" i="1" s="1"/>
  <c r="G62" i="2"/>
  <c r="I62" i="2" s="1"/>
  <c r="G12" i="1"/>
  <c r="H12" i="1" s="1"/>
  <c r="I65" i="2"/>
  <c r="G70" i="2" l="1"/>
  <c r="I70" i="2" s="1"/>
  <c r="I64" i="2"/>
  <c r="G30" i="2"/>
  <c r="I30" i="2" s="1"/>
  <c r="I15" i="2"/>
  <c r="G100" i="2"/>
  <c r="I100" i="2" s="1"/>
  <c r="I97" i="2"/>
  <c r="G108" i="2"/>
  <c r="I108" i="2" s="1"/>
  <c r="G13" i="2"/>
  <c r="I6" i="2"/>
  <c r="G83" i="2"/>
  <c r="F86" i="2"/>
  <c r="F114" i="2" s="1"/>
  <c r="I83" i="2" l="1"/>
  <c r="G86" i="2"/>
  <c r="I86" i="2" s="1"/>
  <c r="G114" i="2"/>
  <c r="I114" i="2" s="1"/>
  <c r="I13" i="2"/>
</calcChain>
</file>

<file path=xl/comments1.xml><?xml version="1.0" encoding="utf-8"?>
<comments xmlns="http://schemas.openxmlformats.org/spreadsheetml/2006/main">
  <authors>
    <author/>
  </authors>
  <commentList>
    <comment ref="E4" authorId="0" shapeId="0">
      <text>
        <r>
          <rPr>
            <sz val="11"/>
            <color theme="1"/>
            <rFont val="Tahoma"/>
            <family val="2"/>
            <scheme val="minor"/>
          </rPr>
          <t>======
ID#AAAANwPrZ8M
plans    (2021-08-23 12:53:39)
นักศึกษาแรกเข้าปีการศึกษา 2560 คณะครุศาสตร์+วิทยาลัยสถาปัตยกรรมศาสตร์ และนักศึกษาแรกเข้าปีการศึกษา 2561 หน่วยงานจัดการศึกษาอื่นๆ</t>
        </r>
      </text>
    </comment>
  </commentList>
</comments>
</file>

<file path=xl/sharedStrings.xml><?xml version="1.0" encoding="utf-8"?>
<sst xmlns="http://schemas.openxmlformats.org/spreadsheetml/2006/main" count="428" uniqueCount="232">
  <si>
    <t>ตัวชี้วัด</t>
  </si>
  <si>
    <t>1.1.4 จำนวนผู้เรียนสาขาวิชาที่เป็นความต้องการของประเทศ</t>
  </si>
  <si>
    <t>ผลการดำเนินงาน</t>
  </si>
  <si>
    <t>หน่วยงานเจ้าภาพ</t>
  </si>
  <si>
    <t>กองบริการการศึกษา</t>
  </si>
  <si>
    <t>รอบ 12 เดือน</t>
  </si>
  <si>
    <t>ผู้รับผิดชอบ</t>
  </si>
  <si>
    <t>นายเศรษฐศิริ</t>
  </si>
  <si>
    <t>เสาสมพบ</t>
  </si>
  <si>
    <t>โทร.1027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</si>
  <si>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</si>
  <si>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</si>
  <si>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</si>
  <si>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</si>
  <si>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นักศึกษาที่จะสำเร็จการศึกษา 
ปีการศึกษา 2564</t>
  </si>
  <si>
    <t>ร้อยละการบรรลุเป้าหมายตัวชี้วัด</t>
  </si>
  <si>
    <t>คะแนนตัวชี้วัด</t>
  </si>
  <si>
    <t>การบรรลุเป้าหมาย</t>
  </si>
  <si>
    <t>จำนวนผู้สำเร็จการศึกษา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</si>
  <si>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</si>
  <si>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</si>
  <si>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ระดับมหาวิทยาลัย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</si>
  <si>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</si>
  <si>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</si>
  <si>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</si>
  <si>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</si>
  <si>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</si>
  <si>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</si>
  <si>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</si>
  <si>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</si>
  <si>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</si>
  <si>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</si>
  <si>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</si>
  <si>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</si>
  <si>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</si>
  <si>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ระดับหน่วยงาน</t>
  </si>
  <si>
    <t>8) วิทยาลัยนวัตกรรมและการจัดการ</t>
  </si>
  <si>
    <t>9) วิทยาลัยพยาบาลและสุขภาพ</t>
  </si>
  <si>
    <t>10) วิทยาลัยสหเวชศาสตร์</t>
  </si>
  <si>
    <t>11) วิทยาลัยโลจิสติกส์และซัพพลายเชน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</si>
  <si>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</si>
  <si>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</si>
  <si>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</si>
  <si>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</si>
  <si>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หมายเหตุ *วันที่จะแสดงผลดำเนินการได้ 30 มิถุนายน 2565</t>
  </si>
  <si>
    <t>ตัวชี้วัดระดับเจ้าภาพ</t>
  </si>
  <si>
    <t>1.1.4 (S) ระดับความสำเร็จของการดำเนินการตามแนวทางตามตัวชี้วัด จำนวนผู้เรียนสาขาวิชาที่เป็นความต้องการของประเทศ</t>
  </si>
  <si>
    <t>คะแนน</t>
  </si>
  <si>
    <t>ห้ามลบ สรุปกราฟ</t>
  </si>
  <si>
    <t>จำนวนนักศึกษาที่จะสำเร็จการศึกษา 
ปีการศึกษา 2564</t>
  </si>
  <si>
    <t>ร้อยละการบรรลุเป้าหมาย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</si>
  <si>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</si>
  <si>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</si>
  <si>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</si>
  <si>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</si>
  <si>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</si>
  <si>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</si>
  <si>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</si>
  <si>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</si>
  <si>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</si>
  <si>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</si>
  <si>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</si>
  <si>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</si>
  <si>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</si>
  <si>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</si>
  <si>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มหาวิทยาลัย</t>
  </si>
  <si>
    <t xml:space="preserve">หลักสูตร </t>
  </si>
  <si>
    <t>สาขาวิชา</t>
  </si>
  <si>
    <t>หลักสูตรใหม่/ปรับปรุง</t>
  </si>
  <si>
    <t>จำนวนนักศึกษาแรกเข้าทั้งหมด</t>
  </si>
  <si>
    <t>จำนวนนักศึกษาที่คาดว่าจะสำเร็จการศึกษา(ไม่นับพ้นสภาพ ลาออก เกรดเฉลี่ยไม่ถึง)</t>
  </si>
  <si>
    <t>เป้าหมายนักศึกษาที่คาดว่าจะสำเร็จการศึกษา</t>
  </si>
  <si>
    <t>จำนวนนักศึกษาที่สำเร็จการศึกษาจริง</t>
  </si>
  <si>
    <t>คิดเป็นร้อยละ</t>
  </si>
  <si>
    <t>กลุ่มอุตสาหกรรม</t>
  </si>
  <si>
    <t>1. คณะครุศาสตร์</t>
  </si>
  <si>
    <t>ครุศาสตรบัณฑิต 4 ปี</t>
  </si>
  <si>
    <t>ภาษาไทย</t>
  </si>
  <si>
    <t>หลักสูตรปรับปรุง พ.ศ. 2560</t>
  </si>
  <si>
    <t>อุตสาหกรรมพัฒนาบุคลากรและการศึกษา</t>
  </si>
  <si>
    <t>ภาษาอังกฤษ</t>
  </si>
  <si>
    <t>วิทยาศาสตร์ทั่วไป</t>
  </si>
  <si>
    <t>คณิตศาสตร์</t>
  </si>
  <si>
    <t>การศึกษาปฐมวัย</t>
  </si>
  <si>
    <t>เทคโนโลยีการศึกษาและคอมพิวเตอร์</t>
  </si>
  <si>
    <t>สังคมศึกษา</t>
  </si>
  <si>
    <t>หลักสูตรปรับปรุง พ.ศ. 2559</t>
  </si>
  <si>
    <t xml:space="preserve">รวม </t>
  </si>
  <si>
    <t>2. คณะวิทยาศาสตร์และเทคโนโลยี</t>
  </si>
  <si>
    <t>วิทยาศาสตรบัณฑิต</t>
  </si>
  <si>
    <t>วิทยาศาสตร์สิ่งแวดล้อม</t>
  </si>
  <si>
    <t>หลักสูตรปรับปรุง พ.ศ.2559</t>
  </si>
  <si>
    <t>อุตสาหกรรมดิจิทัล</t>
  </si>
  <si>
    <t>จุลชีววิทยาอุตสาหกรรม</t>
  </si>
  <si>
    <t>หลักสูตรปรับปรุง พ.ศ.2558</t>
  </si>
  <si>
    <t>อุตสาหกรรมอาหารสำหรับอนาคต</t>
  </si>
  <si>
    <t>เคมี</t>
  </si>
  <si>
    <t>อุตสาหกรรมด้านพลังงาน วัสดุ เชื้อเพลิงชีวภาพและเคมีชีวภาพ</t>
  </si>
  <si>
    <t>คณิตศาสตร์สารสนเทศ</t>
  </si>
  <si>
    <t>เทคโนโลยีชีวภาพ</t>
  </si>
  <si>
    <t>สถิติประยุกต์</t>
  </si>
  <si>
    <t xml:space="preserve">อุตสาหกรรมดิจิทัล </t>
  </si>
  <si>
    <t>ชีววิทยา</t>
  </si>
  <si>
    <t>ฟิสิกส์ประยุกต์</t>
  </si>
  <si>
    <t xml:space="preserve">วิทยาการคอมพิวเตอร์ </t>
  </si>
  <si>
    <t>สารสนเทศศาสตร์</t>
  </si>
  <si>
    <t>หลักสูตรปรับปรุง พ.ศ.2560</t>
  </si>
  <si>
    <t>สาขาที่ตอบโจทย์ความต้องการของประเทศในอนาคต</t>
  </si>
  <si>
    <t xml:space="preserve">เทคโนโลยีสารสนเทศ  </t>
  </si>
  <si>
    <t xml:space="preserve">วิทยาศาสตร์และเทคโนโลยีการอาหาร </t>
  </si>
  <si>
    <t>คหกรรมศาสตร์</t>
  </si>
  <si>
    <t>นิติวิทยาศาสตร์</t>
  </si>
  <si>
    <t>หลักสูตรใหม่ พ.ศ. 2559</t>
  </si>
  <si>
    <t>วิทยาศาสตร์การกีฬาและสุขภาพ</t>
  </si>
  <si>
    <t xml:space="preserve">อุตสาหกรรมการแพทย์ครบวงจร </t>
  </si>
  <si>
    <t>รวม</t>
  </si>
  <si>
    <t>3. คณะมนุษยศาสตร์และสังคมศาสตร์</t>
  </si>
  <si>
    <t xml:space="preserve">วิทยาศาสตรบัณฑิต </t>
  </si>
  <si>
    <t xml:space="preserve">ภูมิศาสตร์และภูมิสารสนเทศ </t>
  </si>
  <si>
    <t>สาขาด้านมนุษศาสตร์และสังคมศาสตร์</t>
  </si>
  <si>
    <t>ศิลปศาสตรบัณฑิต</t>
  </si>
  <si>
    <t xml:space="preserve">ภาษาไทย </t>
  </si>
  <si>
    <t xml:space="preserve">ภาษาอังกฤษ </t>
  </si>
  <si>
    <t xml:space="preserve">ภาษาจีน </t>
  </si>
  <si>
    <t xml:space="preserve">ภาษาญี่ปุ่น </t>
  </si>
  <si>
    <t>ภาษาอังกฤษธุรกิจ</t>
  </si>
  <si>
    <t>การจัดการพัฒนาสังคมและวัฒนธรรม</t>
  </si>
  <si>
    <t>4. คณะวิทยาการจัดการ</t>
  </si>
  <si>
    <t>เศรษฐศาสตรบัณฑิต</t>
  </si>
  <si>
    <t>เศรษฐศาสตร์ธุรกิจ</t>
  </si>
  <si>
    <t xml:space="preserve">บัญชีบัณฑิต </t>
  </si>
  <si>
    <t>การบัญชี</t>
  </si>
  <si>
    <t xml:space="preserve">บริหารธุรกิจบัณฑิต </t>
  </si>
  <si>
    <t>การจัดการทุนมนุษย์และองค์การ</t>
  </si>
  <si>
    <t>มาจากนวัตกรรม 31</t>
  </si>
  <si>
    <t>การเงินการธนาคาร</t>
  </si>
  <si>
    <t>ธุรกิจระหว่างประเทศ</t>
  </si>
  <si>
    <t>การบริหารทรัพยากรมนุษย์</t>
  </si>
  <si>
    <t>การประกอบการธุรกิจ</t>
  </si>
  <si>
    <t>การจัดการธุรกิจบริการ</t>
  </si>
  <si>
    <t>การตลาด</t>
  </si>
  <si>
    <t>5. คณะเทคโนโลยีอุตสาหกรรม</t>
  </si>
  <si>
    <t>การออกแบบตกแต่งภายในและนิทรรศการ</t>
  </si>
  <si>
    <t>หลักสูตรปรับปรุง พ.ศ. 2558</t>
  </si>
  <si>
    <t>การจัดการอุตสาหกรรม</t>
  </si>
  <si>
    <t>เทคโนโลยีคอมพิวเตอร์เพื่องานสถาปัตยกรรม</t>
  </si>
  <si>
    <t>การบริหารทรัพยากรอาคาร</t>
  </si>
  <si>
    <t>อุตสาหกรรมการพิมพ์</t>
  </si>
  <si>
    <t>วิศวกรรมศาสตรบัณฑิต</t>
  </si>
  <si>
    <t>วิศวกรรมคอมพิวเตอร์</t>
  </si>
  <si>
    <t>อุตสาหกรรมหุ่นยนต์</t>
  </si>
  <si>
    <t>การออกแบบกราฟิกและมัลติมีเดีย</t>
  </si>
  <si>
    <t>เทคโนโลยีไฟฟ้า</t>
  </si>
  <si>
    <t xml:space="preserve">เทคโนโลยีความปลอดภัยและอาชีวอนามัย </t>
  </si>
  <si>
    <t>อุตสาหกรรมการบินและโลจิสติกส์</t>
  </si>
  <si>
    <t xml:space="preserve">การออกแบบผลิตภัณฑ์อุตสาหกรรม </t>
  </si>
  <si>
    <t xml:space="preserve">อุตสาหกรรมอิเล็กทรอนิกส์อัจฉริยะ </t>
  </si>
  <si>
    <t>6. คณะศิลปกรรมศาสตร์</t>
  </si>
  <si>
    <t>ศิลปกรรมศาสตรบัณฑิต</t>
  </si>
  <si>
    <t>ดนตรี</t>
  </si>
  <si>
    <t>ศิลปะการแสดง</t>
  </si>
  <si>
    <t>การออกแบบนิเทศศิลป์</t>
  </si>
  <si>
    <t>การออกแบบเครื่องแต่งกาย</t>
  </si>
  <si>
    <t>การออกแบบผลิตภัณฑ์สร้างสรรค์</t>
  </si>
  <si>
    <t>จิตรกรรม</t>
  </si>
  <si>
    <t>7. วิทยาลัยนวัตกรรมและการจัดการ</t>
  </si>
  <si>
    <t>บริหารธุรกิจบัณฑิต</t>
  </si>
  <si>
    <t>การจัดการคุณภาพ</t>
  </si>
  <si>
    <t>การจัดการระบบสารสนเทศเพื่อธุรกิจ</t>
  </si>
  <si>
    <t>เทคโนโลยีสารสนเทศและการสื่อสารการตลาด</t>
  </si>
  <si>
    <t>นวัตกรรมการค้าระหว่างประเทศ(หลักสูตรนานาชาติ)</t>
  </si>
  <si>
    <t>หลักสูตรใหม่ พ.ศ. 2561</t>
  </si>
  <si>
    <t>คอมพิวเตอร์ธุรกิจ</t>
  </si>
  <si>
    <t>8. วิทยาลัยพยาบาลและสุขภาพ</t>
  </si>
  <si>
    <t>พยาบาลศาสตรบัณฑิต</t>
  </si>
  <si>
    <t>พยาบาลศาสตร์</t>
  </si>
  <si>
    <t>หลักสูตรปรับปรุง พ.ศ. 2561</t>
  </si>
  <si>
    <t>9. วิทยาลัยสหเวชศาสตร์</t>
  </si>
  <si>
    <t>สาธารณสุขศาสตรบัณฑิต</t>
  </si>
  <si>
    <t>สาธารณสุขศาสตร์</t>
  </si>
  <si>
    <t>วิทยาศาสตร์สุขภาพ</t>
  </si>
  <si>
    <t>เลขานุการการแพทย์และสาธารณสุข</t>
  </si>
  <si>
    <t>การแพทย์แผนไทยประยุกต์บัณฑิต</t>
  </si>
  <si>
    <t>การแพทย์แผนไทยประยุกต์</t>
  </si>
  <si>
    <t>10. วิทยาลัยโลจิสติกส์และซัพพลายเชน</t>
  </si>
  <si>
    <t xml:space="preserve">การจัดการโลจิสติกส์ </t>
  </si>
  <si>
    <t>การจัดการซัพพลายเชนธุรกิจ</t>
  </si>
  <si>
    <t>การจัดการโลจิสติกส์ (หลักสูตรนานาชาติ)</t>
  </si>
  <si>
    <t>11. วิทยาลัยสถาปัตยกรรมศาสตร์</t>
  </si>
  <si>
    <t>สถาปัตยกรรมบัณฑิต</t>
  </si>
  <si>
    <t>สถาปัตยกรรม</t>
  </si>
  <si>
    <t>หลักสูตรใหม่ พ.ศ.2557</t>
  </si>
  <si>
    <t>12. วิทยาลัยการเมืองและการปกครอง</t>
  </si>
  <si>
    <t>นิติศาสตรบัณฑิต</t>
  </si>
  <si>
    <t>นิติศาสตร์</t>
  </si>
  <si>
    <t>รัฐประศาสนศาสตรบัณฑิต</t>
  </si>
  <si>
    <t>รัฐประศาสนศาสตร์</t>
  </si>
  <si>
    <t>การบริหารงานตำรวจ</t>
  </si>
  <si>
    <t>รัฐศาสตรบัณฑิต</t>
  </si>
  <si>
    <t>รัฐศาสตร์</t>
  </si>
  <si>
    <t>หลักสูตรปรับปรุง พ.ศ.2561</t>
  </si>
  <si>
    <t>มาจากนวัตกรรม 201</t>
  </si>
  <si>
    <t>13. วิทยาลัยการจัดการอุตสาหกรรมบริการ</t>
  </si>
  <si>
    <t>การจัดการโรงแรมและธุรกิจที่พัก</t>
  </si>
  <si>
    <t xml:space="preserve">อุตสาหกรรมการท่องเที่ยวกลุ่มรายได้ดีและท่องเที่ยวเชิงสุขภาพ </t>
  </si>
  <si>
    <t xml:space="preserve">การจัดการอุตสาหกรรมท่องเที่ยวและบริการ </t>
  </si>
  <si>
    <t>ธุรกิจการบิน (หลักสูตรนานาชาติ)</t>
  </si>
  <si>
    <t>การจัดการท่องเที่ยว (หลักสูตรนานาชาติ)</t>
  </si>
  <si>
    <t>การโรงแรม</t>
  </si>
  <si>
    <t>บริหารธุรกิจระหว่างประเทศ (หลักสูตรนานาชาติ)</t>
  </si>
  <si>
    <t>14. วิทยาลัยนิเทศศาสตร์</t>
  </si>
  <si>
    <t>นิเทศศาสตรบัณฑิต</t>
  </si>
  <si>
    <t>ศิลปบัณฑิต</t>
  </si>
  <si>
    <t>ศิลปภาพยนตร์</t>
  </si>
  <si>
    <t>หลักสูตรใหม่ พ.ศ.2555</t>
  </si>
  <si>
    <t>การสร้างสรรค์และสื่อดิจิทัล</t>
  </si>
  <si>
    <t>หลักสูตรใหม่ พ.ศ.2556</t>
  </si>
  <si>
    <t>รวมทั้งหมด</t>
  </si>
  <si>
    <t xml:space="preserve">หมายเหตุ ใช้จำนวนนักศึกษาที่คาดว่าจะสำเร็จการศึกษา 70% -ของนักศึกษาแรกเข้าทั้งหมดเป็นตัวหารเพื่อหาร้อยละ </t>
  </si>
  <si>
    <t>จำนวนสาขา</t>
  </si>
  <si>
    <t>จำนวนนักศึกษา (คน)</t>
  </si>
  <si>
    <t>อุตสาหกรรมเชื่อเพลิงชีวภาพและเคมีชีวภาพ</t>
  </si>
  <si>
    <t>อุตสาหกรรมการบินและโลจิสดิกส์</t>
  </si>
  <si>
    <t>อุตสาหกรรมการแพทย์ครบวงจร</t>
  </si>
  <si>
    <t>อุตสาหกรรมยานยนต์แห่งอนาคต</t>
  </si>
  <si>
    <t>อุตสาหกรรมอิเล็กทรอนิกส์อัจฉริยะ</t>
  </si>
  <si>
    <t>อุตสาหกรรมการท่องเที่ยวกลุ่มผู้มีรายได้สูงและการท่องเที่ยวเชิงสุขภาพ</t>
  </si>
  <si>
    <t>อุตสาหกรรมการเกษตรและเทคโนโลยี</t>
  </si>
  <si>
    <t>อุตสาหกรรมอาหารแห่งอนาคต</t>
  </si>
  <si>
    <t>อุตสาหกรรมป้องกันประเทศ</t>
  </si>
  <si>
    <t>สาขาวิชาที่มุ่งเน้นการขับเคลื่อนเศรษฐกิจ</t>
  </si>
  <si>
    <t>สาขาด้านมนุษยศาสตร์และสังคมศาสตร์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</si>
</sst>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27" x14ac:knownFonts="1">
    <font>
      <sz val="11"/>
      <color theme="1"/>
      <name val="Tahoma"/>
      <scheme val="minor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b/>
      <sz val="16"/>
      <color theme="1"/>
      <name val="TH SarabunPSK"/>
      <family val="2"/>
    </font>
    <font>
      <sz val="16"/>
      <color theme="0"/>
      <name val="TH SarabunPSK"/>
      <family val="2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22"/>
      <color theme="0"/>
      <name val="TH SarabunPSK"/>
      <family val="2"/>
    </font>
    <font>
      <sz val="11"/>
      <color theme="1"/>
      <name val="Tahoma"/>
      <family val="2"/>
      <scheme val="minor"/>
    </font>
    <font>
      <sz val="11"/>
      <color theme="1"/>
      <name val="Tahoma"/>
      <family val="2"/>
    </font>
    <font>
      <b/>
      <sz val="20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4"/>
      <color rgb="FFFF0000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1"/>
      <color theme="1"/>
      <name val="TH SarabunPSK"/>
      <family val="2"/>
    </font>
    <font>
      <sz val="18"/>
      <color theme="1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0000"/>
        <bgColor rgb="FFFF0000"/>
      </patternFill>
    </fill>
    <fill>
      <patternFill patternType="solid">
        <fgColor rgb="FFA8D08D"/>
        <bgColor rgb="FFA8D08D"/>
      </patternFill>
    </fill>
    <fill>
      <patternFill patternType="solid">
        <fgColor rgb="FFFFFF00"/>
        <bgColor theme="0"/>
      </patternFill>
    </fill>
    <fill>
      <patternFill patternType="solid">
        <fgColor rgb="FFAEABAB"/>
        <bgColor rgb="FFAEABAB"/>
      </patternFill>
    </fill>
    <fill>
      <patternFill patternType="solid">
        <fgColor rgb="FFFEF2CB"/>
        <bgColor rgb="FFFEF2CB"/>
      </patternFill>
    </fill>
    <fill>
      <patternFill patternType="solid">
        <fgColor rgb="FF00B0F0"/>
        <bgColor rgb="FF00B0F0"/>
      </patternFill>
    </fill>
    <fill>
      <patternFill patternType="solid">
        <fgColor rgb="FFB4C6E7"/>
        <bgColor rgb="FFB4C6E7"/>
      </patternFill>
    </fill>
    <fill>
      <patternFill patternType="solid">
        <fgColor theme="0"/>
        <bgColor rgb="FFFEF2CB"/>
      </patternFill>
    </fill>
    <fill>
      <patternFill patternType="solid">
        <fgColor theme="7"/>
        <bgColor theme="7"/>
      </patternFill>
    </fill>
    <fill>
      <patternFill patternType="solid">
        <fgColor rgb="FFF088C6"/>
        <bgColor rgb="FFF088C6"/>
      </patternFill>
    </fill>
    <fill>
      <patternFill patternType="solid">
        <fgColor rgb="FFF4B083"/>
        <bgColor rgb="FFF4B083"/>
      </patternFill>
    </fill>
    <fill>
      <patternFill patternType="solid">
        <fgColor rgb="FFFFC000"/>
        <bgColor rgb="FFFFC000"/>
      </patternFill>
    </fill>
    <fill>
      <patternFill patternType="solid">
        <fgColor rgb="FFC5E0B3"/>
        <bgColor rgb="FFC5E0B3"/>
      </patternFill>
    </fill>
    <fill>
      <patternFill patternType="solid">
        <fgColor rgb="FF2E75B5"/>
        <bgColor rgb="FF2E75B5"/>
      </patternFill>
    </fill>
    <fill>
      <patternFill patternType="solid">
        <fgColor theme="0"/>
        <bgColor rgb="FFAEABAB"/>
      </patternFill>
    </fill>
  </fills>
  <borders count="3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</borders>
  <cellStyleXfs count="2">
    <xf numFmtId="0" fontId="0" fillId="0" borderId="0"/>
    <xf numFmtId="0" fontId="19" fillId="0" borderId="0"/>
  </cellStyleXfs>
  <cellXfs count="258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6" fillId="0" borderId="2" xfId="0" applyFont="1" applyBorder="1"/>
    <xf numFmtId="0" fontId="7" fillId="3" borderId="2" xfId="0" applyFont="1" applyFill="1" applyBorder="1" applyAlignment="1">
      <alignment horizontal="left" vertical="top" wrapText="1"/>
    </xf>
    <xf numFmtId="0" fontId="8" fillId="3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0" fontId="6" fillId="0" borderId="3" xfId="0" applyFont="1" applyBorder="1"/>
    <xf numFmtId="0" fontId="6" fillId="0" borderId="0" xfId="0" applyFont="1" applyBorder="1"/>
    <xf numFmtId="0" fontId="8" fillId="0" borderId="0" xfId="0" applyFont="1"/>
    <xf numFmtId="0" fontId="1" fillId="4" borderId="0" xfId="0" applyFont="1" applyFill="1" applyBorder="1" applyAlignment="1">
      <alignment horizontal="left" vertical="top"/>
    </xf>
    <xf numFmtId="0" fontId="5" fillId="5" borderId="4" xfId="0" applyFont="1" applyFill="1" applyBorder="1" applyAlignment="1">
      <alignment horizontal="center" vertical="top"/>
    </xf>
    <xf numFmtId="0" fontId="6" fillId="0" borderId="5" xfId="0" applyFont="1" applyBorder="1"/>
    <xf numFmtId="0" fontId="9" fillId="3" borderId="5" xfId="0" applyFont="1" applyFill="1" applyBorder="1" applyAlignment="1">
      <alignment vertical="top"/>
    </xf>
    <xf numFmtId="0" fontId="8" fillId="3" borderId="5" xfId="0" applyFont="1" applyFill="1" applyBorder="1"/>
    <xf numFmtId="0" fontId="7" fillId="3" borderId="0" xfId="0" applyFont="1" applyFill="1" applyBorder="1" applyAlignment="1">
      <alignment vertical="top"/>
    </xf>
    <xf numFmtId="0" fontId="5" fillId="5" borderId="0" xfId="0" applyFont="1" applyFill="1" applyBorder="1" applyAlignment="1">
      <alignment horizontal="center" vertical="top"/>
    </xf>
    <xf numFmtId="0" fontId="6" fillId="0" borderId="6" xfId="0" applyFont="1" applyBorder="1"/>
    <xf numFmtId="0" fontId="10" fillId="0" borderId="0" xfId="0" applyFont="1"/>
    <xf numFmtId="0" fontId="1" fillId="4" borderId="2" xfId="0" applyFont="1" applyFill="1" applyBorder="1" applyAlignment="1">
      <alignment horizontal="left" vertical="top"/>
    </xf>
    <xf numFmtId="0" fontId="3" fillId="3" borderId="7" xfId="0" applyFont="1" applyFill="1" applyBorder="1" applyAlignment="1">
      <alignment horizontal="center" vertical="top"/>
    </xf>
    <xf numFmtId="0" fontId="6" fillId="0" borderId="8" xfId="0" applyFont="1" applyBorder="1"/>
    <xf numFmtId="0" fontId="6" fillId="0" borderId="9" xfId="0" applyFont="1" applyBorder="1"/>
    <xf numFmtId="0" fontId="3" fillId="3" borderId="1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/>
    </xf>
    <xf numFmtId="0" fontId="3" fillId="0" borderId="12" xfId="0" applyFont="1" applyBorder="1" applyAlignment="1">
      <alignment horizontal="center" vertical="center"/>
    </xf>
    <xf numFmtId="0" fontId="1" fillId="4" borderId="4" xfId="0" applyFont="1" applyFill="1" applyBorder="1" applyAlignment="1">
      <alignment horizontal="left" vertical="top" wrapText="1"/>
    </xf>
    <xf numFmtId="0" fontId="6" fillId="0" borderId="13" xfId="0" applyFont="1" applyBorder="1"/>
    <xf numFmtId="187" fontId="11" fillId="4" borderId="14" xfId="0" applyNumberFormat="1" applyFont="1" applyFill="1" applyBorder="1" applyAlignment="1">
      <alignment horizontal="center" vertical="top" wrapText="1"/>
    </xf>
    <xf numFmtId="0" fontId="1" fillId="4" borderId="10" xfId="0" applyFont="1" applyFill="1" applyBorder="1" applyAlignment="1">
      <alignment horizontal="center" vertical="top"/>
    </xf>
    <xf numFmtId="2" fontId="1" fillId="4" borderId="13" xfId="0" applyNumberFormat="1" applyFont="1" applyFill="1" applyBorder="1" applyAlignment="1">
      <alignment horizontal="center" vertical="top" wrapText="1"/>
    </xf>
    <xf numFmtId="188" fontId="1" fillId="4" borderId="12" xfId="0" applyNumberFormat="1" applyFont="1" applyFill="1" applyBorder="1" applyAlignment="1">
      <alignment horizontal="center" vertical="top" wrapText="1"/>
    </xf>
    <xf numFmtId="0" fontId="12" fillId="4" borderId="4" xfId="0" applyFont="1" applyFill="1" applyBorder="1" applyAlignment="1">
      <alignment horizontal="center" vertical="top" wrapText="1"/>
    </xf>
    <xf numFmtId="2" fontId="1" fillId="4" borderId="15" xfId="0" applyNumberFormat="1" applyFont="1" applyFill="1" applyBorder="1" applyAlignment="1">
      <alignment horizontal="center" vertical="top" wrapText="1"/>
    </xf>
    <xf numFmtId="0" fontId="1" fillId="4" borderId="12" xfId="0" applyFont="1" applyFill="1" applyBorder="1" applyAlignment="1">
      <alignment horizontal="center" vertical="top" wrapText="1"/>
    </xf>
    <xf numFmtId="0" fontId="1" fillId="4" borderId="0" xfId="0" applyFont="1" applyFill="1" applyBorder="1" applyAlignment="1">
      <alignment horizontal="center" vertical="top"/>
    </xf>
    <xf numFmtId="1" fontId="1" fillId="4" borderId="0" xfId="0" applyNumberFormat="1" applyFont="1" applyFill="1" applyBorder="1" applyAlignment="1">
      <alignment horizontal="left" vertical="top"/>
    </xf>
    <xf numFmtId="2" fontId="1" fillId="4" borderId="0" xfId="0" applyNumberFormat="1" applyFont="1" applyFill="1" applyBorder="1" applyAlignment="1">
      <alignment horizontal="left" vertical="top"/>
    </xf>
    <xf numFmtId="0" fontId="3" fillId="0" borderId="10" xfId="0" applyFont="1" applyBorder="1" applyAlignment="1">
      <alignment horizontal="center"/>
    </xf>
    <xf numFmtId="0" fontId="1" fillId="4" borderId="7" xfId="0" applyFont="1" applyFill="1" applyBorder="1" applyAlignment="1">
      <alignment horizontal="left" vertical="top" wrapText="1"/>
    </xf>
    <xf numFmtId="187" fontId="11" fillId="4" borderId="16" xfId="0" applyNumberFormat="1" applyFont="1" applyFill="1" applyBorder="1" applyAlignment="1">
      <alignment horizontal="center" vertical="top" wrapText="1"/>
    </xf>
    <xf numFmtId="0" fontId="1" fillId="4" borderId="10" xfId="0" applyFont="1" applyFill="1" applyBorder="1" applyAlignment="1">
      <alignment horizontal="center" vertical="top" wrapText="1"/>
    </xf>
    <xf numFmtId="0" fontId="12" fillId="4" borderId="7" xfId="0" applyFont="1" applyFill="1" applyBorder="1" applyAlignment="1">
      <alignment horizontal="center" vertical="top" wrapText="1"/>
    </xf>
    <xf numFmtId="2" fontId="1" fillId="4" borderId="17" xfId="0" applyNumberFormat="1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top" wrapText="1"/>
    </xf>
    <xf numFmtId="0" fontId="13" fillId="7" borderId="9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1" fontId="11" fillId="0" borderId="9" xfId="0" applyNumberFormat="1" applyFont="1" applyBorder="1" applyAlignment="1">
      <alignment horizontal="center" vertical="center" wrapText="1"/>
    </xf>
    <xf numFmtId="1" fontId="11" fillId="0" borderId="10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top" wrapText="1"/>
    </xf>
    <xf numFmtId="2" fontId="11" fillId="0" borderId="10" xfId="0" applyNumberFormat="1" applyFont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top" wrapText="1"/>
    </xf>
    <xf numFmtId="187" fontId="14" fillId="3" borderId="10" xfId="0" applyNumberFormat="1" applyFont="1" applyFill="1" applyBorder="1" applyAlignment="1">
      <alignment horizontal="center" vertical="top" wrapText="1"/>
    </xf>
    <xf numFmtId="1" fontId="14" fillId="3" borderId="12" xfId="0" applyNumberFormat="1" applyFont="1" applyFill="1" applyBorder="1" applyAlignment="1">
      <alignment horizontal="center" vertical="top" wrapText="1"/>
    </xf>
    <xf numFmtId="2" fontId="3" fillId="3" borderId="12" xfId="0" applyNumberFormat="1" applyFont="1" applyFill="1" applyBorder="1" applyAlignment="1">
      <alignment horizontal="center" vertical="top" wrapText="1"/>
    </xf>
    <xf numFmtId="188" fontId="3" fillId="3" borderId="12" xfId="0" applyNumberFormat="1" applyFont="1" applyFill="1" applyBorder="1" applyAlignment="1">
      <alignment horizontal="center" vertical="top" wrapText="1"/>
    </xf>
    <xf numFmtId="0" fontId="15" fillId="3" borderId="7" xfId="0" applyFont="1" applyFill="1" applyBorder="1" applyAlignment="1">
      <alignment horizontal="center" vertical="top" wrapText="1"/>
    </xf>
    <xf numFmtId="0" fontId="14" fillId="3" borderId="11" xfId="0" applyFont="1" applyFill="1" applyBorder="1" applyAlignment="1">
      <alignment horizontal="center" vertical="top" wrapText="1"/>
    </xf>
    <xf numFmtId="0" fontId="14" fillId="3" borderId="9" xfId="0" applyFont="1" applyFill="1" applyBorder="1" applyAlignment="1">
      <alignment horizontal="center" vertical="top" wrapText="1"/>
    </xf>
    <xf numFmtId="0" fontId="14" fillId="3" borderId="10" xfId="0" applyFont="1" applyFill="1" applyBorder="1" applyAlignment="1">
      <alignment horizontal="center" vertical="top" wrapText="1"/>
    </xf>
    <xf numFmtId="0" fontId="2" fillId="4" borderId="0" xfId="0" applyFont="1" applyFill="1" applyBorder="1"/>
    <xf numFmtId="0" fontId="5" fillId="8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left" vertical="top" wrapText="1"/>
    </xf>
    <xf numFmtId="0" fontId="16" fillId="8" borderId="10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/>
    </xf>
    <xf numFmtId="0" fontId="8" fillId="4" borderId="0" xfId="0" applyFont="1" applyFill="1" applyBorder="1"/>
    <xf numFmtId="0" fontId="6" fillId="0" borderId="4" xfId="0" applyFont="1" applyBorder="1"/>
    <xf numFmtId="0" fontId="1" fillId="4" borderId="10" xfId="0" applyFont="1" applyFill="1" applyBorder="1" applyAlignment="1">
      <alignment horizontal="center" vertical="center"/>
    </xf>
    <xf numFmtId="188" fontId="1" fillId="4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7" fillId="10" borderId="0" xfId="0" applyFont="1" applyFill="1" applyBorder="1"/>
    <xf numFmtId="0" fontId="4" fillId="10" borderId="0" xfId="0" applyFont="1" applyFill="1" applyBorder="1" applyAlignment="1">
      <alignment horizontal="left" vertical="top"/>
    </xf>
    <xf numFmtId="0" fontId="1" fillId="4" borderId="0" xfId="0" applyFont="1" applyFill="1" applyBorder="1" applyAlignment="1">
      <alignment horizontal="left" vertical="top" wrapText="1"/>
    </xf>
    <xf numFmtId="187" fontId="1" fillId="4" borderId="0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5" fillId="2" borderId="1" xfId="0" applyFont="1" applyFill="1" applyBorder="1" applyAlignment="1">
      <alignment horizontal="center" vertical="top"/>
    </xf>
    <xf numFmtId="0" fontId="7" fillId="3" borderId="2" xfId="0" applyFont="1" applyFill="1" applyBorder="1" applyAlignment="1">
      <alignment vertical="top"/>
    </xf>
    <xf numFmtId="0" fontId="7" fillId="3" borderId="2" xfId="0" applyFont="1" applyFill="1" applyBorder="1" applyAlignment="1">
      <alignment vertical="top" wrapText="1"/>
    </xf>
    <xf numFmtId="0" fontId="5" fillId="2" borderId="3" xfId="0" applyFont="1" applyFill="1" applyBorder="1" applyAlignment="1">
      <alignment horizontal="center" vertical="top"/>
    </xf>
    <xf numFmtId="0" fontId="1" fillId="4" borderId="0" xfId="1" applyFont="1" applyFill="1" applyAlignment="1">
      <alignment horizontal="left" vertical="top"/>
    </xf>
    <xf numFmtId="0" fontId="5" fillId="5" borderId="4" xfId="0" applyFont="1" applyFill="1" applyBorder="1" applyAlignment="1">
      <alignment horizontal="center" vertical="top"/>
    </xf>
    <xf numFmtId="0" fontId="7" fillId="3" borderId="5" xfId="0" applyFont="1" applyFill="1" applyBorder="1" applyAlignment="1">
      <alignment vertical="top"/>
    </xf>
    <xf numFmtId="0" fontId="5" fillId="5" borderId="13" xfId="0" applyFont="1" applyFill="1" applyBorder="1" applyAlignment="1">
      <alignment horizontal="center" vertical="top"/>
    </xf>
    <xf numFmtId="0" fontId="2" fillId="4" borderId="0" xfId="0" applyFont="1" applyFill="1" applyBorder="1" applyAlignment="1">
      <alignment horizontal="left" vertical="top"/>
    </xf>
    <xf numFmtId="0" fontId="20" fillId="4" borderId="5" xfId="0" applyFont="1" applyFill="1" applyBorder="1" applyAlignment="1">
      <alignment vertical="top"/>
    </xf>
    <xf numFmtId="0" fontId="1" fillId="4" borderId="5" xfId="0" applyFont="1" applyFill="1" applyBorder="1" applyAlignment="1">
      <alignment horizontal="left" vertical="top"/>
    </xf>
    <xf numFmtId="0" fontId="20" fillId="4" borderId="5" xfId="0" applyFont="1" applyFill="1" applyBorder="1" applyAlignment="1">
      <alignment horizontal="right" vertical="top"/>
    </xf>
    <xf numFmtId="0" fontId="2" fillId="4" borderId="5" xfId="0" applyFont="1" applyFill="1" applyBorder="1" applyAlignment="1">
      <alignment horizontal="left" vertical="top"/>
    </xf>
    <xf numFmtId="0" fontId="2" fillId="4" borderId="0" xfId="1" applyFont="1" applyFill="1" applyAlignment="1">
      <alignment horizontal="left" vertical="top"/>
    </xf>
    <xf numFmtId="0" fontId="3" fillId="4" borderId="10" xfId="0" applyFont="1" applyFill="1" applyBorder="1" applyAlignment="1">
      <alignment horizontal="center" vertical="center"/>
    </xf>
    <xf numFmtId="0" fontId="21" fillId="9" borderId="10" xfId="0" applyFont="1" applyFill="1" applyBorder="1" applyAlignment="1">
      <alignment horizontal="center" vertical="center" wrapText="1"/>
    </xf>
    <xf numFmtId="0" fontId="21" fillId="9" borderId="7" xfId="0" applyFont="1" applyFill="1" applyBorder="1" applyAlignment="1">
      <alignment horizontal="center" vertical="center" wrapText="1"/>
    </xf>
    <xf numFmtId="3" fontId="22" fillId="11" borderId="7" xfId="0" applyNumberFormat="1" applyFont="1" applyFill="1" applyBorder="1" applyAlignment="1">
      <alignment horizontal="center" vertical="center" wrapText="1"/>
    </xf>
    <xf numFmtId="0" fontId="1" fillId="12" borderId="11" xfId="1" applyFont="1" applyFill="1" applyBorder="1" applyAlignment="1">
      <alignment horizontal="center" vertical="center"/>
    </xf>
    <xf numFmtId="0" fontId="3" fillId="13" borderId="18" xfId="0" applyFont="1" applyFill="1" applyBorder="1" applyAlignment="1">
      <alignment horizontal="center" vertical="center"/>
    </xf>
    <xf numFmtId="0" fontId="3" fillId="13" borderId="19" xfId="0" applyFont="1" applyFill="1" applyBorder="1" applyAlignment="1">
      <alignment horizontal="left" vertical="center"/>
    </xf>
    <xf numFmtId="0" fontId="6" fillId="0" borderId="20" xfId="0" applyFont="1" applyBorder="1"/>
    <xf numFmtId="0" fontId="3" fillId="13" borderId="6" xfId="0" applyFont="1" applyFill="1" applyBorder="1" applyAlignment="1">
      <alignment vertical="center"/>
    </xf>
    <xf numFmtId="0" fontId="1" fillId="13" borderId="18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1" fillId="13" borderId="21" xfId="0" applyFont="1" applyFill="1" applyBorder="1" applyAlignment="1">
      <alignment horizontal="center"/>
    </xf>
    <xf numFmtId="0" fontId="1" fillId="13" borderId="22" xfId="0" applyFont="1" applyFill="1" applyBorder="1" applyAlignment="1">
      <alignment horizontal="center"/>
    </xf>
    <xf numFmtId="0" fontId="1" fillId="4" borderId="0" xfId="1" applyFont="1" applyFill="1"/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2" xfId="0" applyFont="1" applyBorder="1" applyAlignment="1">
      <alignment horizontal="center"/>
    </xf>
    <xf numFmtId="1" fontId="1" fillId="0" borderId="24" xfId="0" applyNumberFormat="1" applyFont="1" applyBorder="1" applyAlignment="1">
      <alignment horizontal="center"/>
    </xf>
    <xf numFmtId="1" fontId="2" fillId="0" borderId="24" xfId="0" applyNumberFormat="1" applyFont="1" applyBorder="1" applyAlignment="1">
      <alignment horizontal="center"/>
    </xf>
    <xf numFmtId="2" fontId="1" fillId="14" borderId="22" xfId="0" applyNumberFormat="1" applyFont="1" applyFill="1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0" fontId="1" fillId="0" borderId="25" xfId="0" applyFont="1" applyBorder="1" applyAlignment="1">
      <alignment vertical="center" wrapText="1"/>
    </xf>
    <xf numFmtId="0" fontId="3" fillId="15" borderId="25" xfId="0" applyFont="1" applyFill="1" applyBorder="1" applyAlignment="1">
      <alignment vertical="center"/>
    </xf>
    <xf numFmtId="0" fontId="3" fillId="15" borderId="26" xfId="0" applyFont="1" applyFill="1" applyBorder="1" applyAlignment="1">
      <alignment vertical="center"/>
    </xf>
    <xf numFmtId="0" fontId="3" fillId="15" borderId="22" xfId="0" applyFont="1" applyFill="1" applyBorder="1" applyAlignment="1">
      <alignment horizontal="center"/>
    </xf>
    <xf numFmtId="1" fontId="3" fillId="15" borderId="22" xfId="0" applyNumberFormat="1" applyFont="1" applyFill="1" applyBorder="1" applyAlignment="1">
      <alignment horizontal="center"/>
    </xf>
    <xf numFmtId="2" fontId="3" fillId="16" borderId="22" xfId="0" applyNumberFormat="1" applyFont="1" applyFill="1" applyBorder="1" applyAlignment="1">
      <alignment horizontal="center"/>
    </xf>
    <xf numFmtId="0" fontId="1" fillId="13" borderId="22" xfId="0" applyFont="1" applyFill="1" applyBorder="1" applyAlignment="1">
      <alignment horizontal="center" vertical="center"/>
    </xf>
    <xf numFmtId="0" fontId="3" fillId="13" borderId="24" xfId="0" applyFont="1" applyFill="1" applyBorder="1" applyAlignment="1">
      <alignment horizontal="left" vertical="center"/>
    </xf>
    <xf numFmtId="0" fontId="6" fillId="0" borderId="25" xfId="0" applyFont="1" applyBorder="1"/>
    <xf numFmtId="0" fontId="1" fillId="13" borderId="26" xfId="0" applyFont="1" applyFill="1" applyBorder="1" applyAlignment="1">
      <alignment horizontal="left" vertical="center"/>
    </xf>
    <xf numFmtId="0" fontId="1" fillId="13" borderId="24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left" vertical="center" wrapText="1"/>
    </xf>
    <xf numFmtId="0" fontId="1" fillId="4" borderId="26" xfId="0" applyFont="1" applyFill="1" applyBorder="1" applyAlignment="1">
      <alignment vertical="center" wrapText="1"/>
    </xf>
    <xf numFmtId="0" fontId="3" fillId="4" borderId="22" xfId="0" applyFont="1" applyFill="1" applyBorder="1" applyAlignment="1">
      <alignment horizontal="center"/>
    </xf>
    <xf numFmtId="1" fontId="3" fillId="4" borderId="22" xfId="0" applyNumberFormat="1" applyFont="1" applyFill="1" applyBorder="1" applyAlignment="1">
      <alignment horizontal="center"/>
    </xf>
    <xf numFmtId="1" fontId="21" fillId="17" borderId="22" xfId="1" applyNumberFormat="1" applyFont="1" applyFill="1" applyBorder="1" applyAlignment="1">
      <alignment horizontal="center"/>
    </xf>
    <xf numFmtId="0" fontId="1" fillId="4" borderId="25" xfId="0" applyFont="1" applyFill="1" applyBorder="1" applyAlignment="1">
      <alignment horizontal="left" vertical="center" wrapText="1"/>
    </xf>
    <xf numFmtId="0" fontId="3" fillId="4" borderId="23" xfId="0" applyFont="1" applyFill="1" applyBorder="1" applyAlignment="1">
      <alignment horizontal="center"/>
    </xf>
    <xf numFmtId="1" fontId="3" fillId="4" borderId="24" xfId="0" applyNumberFormat="1" applyFont="1" applyFill="1" applyBorder="1" applyAlignment="1">
      <alignment horizontal="center"/>
    </xf>
    <xf numFmtId="1" fontId="3" fillId="17" borderId="24" xfId="1" applyNumberFormat="1" applyFont="1" applyFill="1" applyBorder="1" applyAlignment="1">
      <alignment horizontal="center"/>
    </xf>
    <xf numFmtId="1" fontId="21" fillId="17" borderId="24" xfId="1" applyNumberFormat="1" applyFont="1" applyFill="1" applyBorder="1" applyAlignment="1">
      <alignment horizontal="center"/>
    </xf>
    <xf numFmtId="0" fontId="1" fillId="0" borderId="25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center"/>
    </xf>
    <xf numFmtId="1" fontId="2" fillId="0" borderId="24" xfId="1" applyNumberFormat="1" applyFont="1" applyBorder="1" applyAlignment="1">
      <alignment horizontal="center"/>
    </xf>
    <xf numFmtId="1" fontId="1" fillId="0" borderId="24" xfId="1" applyNumberFormat="1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1" fontId="1" fillId="0" borderId="28" xfId="0" applyNumberFormat="1" applyFont="1" applyBorder="1" applyAlignment="1">
      <alignment horizontal="center"/>
    </xf>
    <xf numFmtId="1" fontId="2" fillId="0" borderId="28" xfId="1" applyNumberFormat="1" applyFont="1" applyBorder="1" applyAlignment="1">
      <alignment horizontal="center"/>
    </xf>
    <xf numFmtId="0" fontId="1" fillId="0" borderId="26" xfId="0" applyFont="1" applyBorder="1" applyAlignment="1">
      <alignment vertical="center" wrapText="1"/>
    </xf>
    <xf numFmtId="1" fontId="1" fillId="0" borderId="29" xfId="0" applyNumberFormat="1" applyFont="1" applyBorder="1" applyAlignment="1">
      <alignment horizontal="center"/>
    </xf>
    <xf numFmtId="1" fontId="2" fillId="0" borderId="29" xfId="1" applyNumberFormat="1" applyFont="1" applyBorder="1" applyAlignment="1">
      <alignment horizontal="center"/>
    </xf>
    <xf numFmtId="0" fontId="3" fillId="18" borderId="25" xfId="0" applyFont="1" applyFill="1" applyBorder="1" applyAlignment="1">
      <alignment vertical="center"/>
    </xf>
    <xf numFmtId="0" fontId="3" fillId="18" borderId="26" xfId="0" applyFont="1" applyFill="1" applyBorder="1" applyAlignment="1">
      <alignment vertical="center"/>
    </xf>
    <xf numFmtId="0" fontId="3" fillId="18" borderId="22" xfId="0" applyFont="1" applyFill="1" applyBorder="1" applyAlignment="1">
      <alignment horizontal="center"/>
    </xf>
    <xf numFmtId="1" fontId="3" fillId="18" borderId="22" xfId="0" applyNumberFormat="1" applyFont="1" applyFill="1" applyBorder="1" applyAlignment="1">
      <alignment horizontal="center"/>
    </xf>
    <xf numFmtId="0" fontId="1" fillId="13" borderId="26" xfId="0" applyFont="1" applyFill="1" applyBorder="1" applyAlignment="1">
      <alignment vertical="center"/>
    </xf>
    <xf numFmtId="1" fontId="1" fillId="4" borderId="24" xfId="0" applyNumberFormat="1" applyFont="1" applyFill="1" applyBorder="1" applyAlignment="1">
      <alignment horizontal="center"/>
    </xf>
    <xf numFmtId="1" fontId="2" fillId="17" borderId="24" xfId="1" applyNumberFormat="1" applyFont="1" applyFill="1" applyBorder="1" applyAlignment="1">
      <alignment horizontal="center"/>
    </xf>
    <xf numFmtId="0" fontId="1" fillId="4" borderId="25" xfId="0" applyFont="1" applyFill="1" applyBorder="1" applyAlignment="1">
      <alignment vertical="center"/>
    </xf>
    <xf numFmtId="1" fontId="3" fillId="0" borderId="22" xfId="0" applyNumberFormat="1" applyFont="1" applyBorder="1" applyAlignment="1">
      <alignment horizontal="center"/>
    </xf>
    <xf numFmtId="0" fontId="3" fillId="19" borderId="25" xfId="0" applyFont="1" applyFill="1" applyBorder="1" applyAlignment="1">
      <alignment horizontal="left" vertical="center" wrapText="1"/>
    </xf>
    <xf numFmtId="49" fontId="3" fillId="19" borderId="25" xfId="0" applyNumberFormat="1" applyFont="1" applyFill="1" applyBorder="1" applyAlignment="1">
      <alignment vertical="center" wrapText="1"/>
    </xf>
    <xf numFmtId="0" fontId="1" fillId="19" borderId="26" xfId="0" applyFont="1" applyFill="1" applyBorder="1" applyAlignment="1">
      <alignment vertical="center" wrapText="1"/>
    </xf>
    <xf numFmtId="0" fontId="3" fillId="19" borderId="27" xfId="0" applyFont="1" applyFill="1" applyBorder="1" applyAlignment="1">
      <alignment horizontal="center"/>
    </xf>
    <xf numFmtId="1" fontId="3" fillId="19" borderId="27" xfId="0" applyNumberFormat="1" applyFont="1" applyFill="1" applyBorder="1" applyAlignment="1">
      <alignment horizontal="center"/>
    </xf>
    <xf numFmtId="0" fontId="1" fillId="13" borderId="26" xfId="0" applyFont="1" applyFill="1" applyBorder="1" applyAlignment="1">
      <alignment vertical="center" wrapText="1"/>
    </xf>
    <xf numFmtId="0" fontId="3" fillId="0" borderId="22" xfId="0" applyFont="1" applyBorder="1" applyAlignment="1">
      <alignment horizontal="center"/>
    </xf>
    <xf numFmtId="1" fontId="3" fillId="0" borderId="24" xfId="0" applyNumberFormat="1" applyFont="1" applyBorder="1" applyAlignment="1">
      <alignment horizontal="center"/>
    </xf>
    <xf numFmtId="1" fontId="23" fillId="0" borderId="24" xfId="1" applyNumberFormat="1" applyFont="1" applyBorder="1" applyAlignment="1">
      <alignment horizontal="center"/>
    </xf>
    <xf numFmtId="0" fontId="2" fillId="0" borderId="25" xfId="0" applyFont="1" applyBorder="1" applyAlignment="1">
      <alignment horizontal="left" vertical="center" wrapText="1"/>
    </xf>
    <xf numFmtId="0" fontId="1" fillId="4" borderId="22" xfId="0" applyFont="1" applyFill="1" applyBorder="1" applyAlignment="1">
      <alignment horizontal="center"/>
    </xf>
    <xf numFmtId="0" fontId="3" fillId="20" borderId="25" xfId="0" applyFont="1" applyFill="1" applyBorder="1" applyAlignment="1">
      <alignment vertical="center"/>
    </xf>
    <xf numFmtId="0" fontId="3" fillId="20" borderId="26" xfId="0" applyFont="1" applyFill="1" applyBorder="1" applyAlignment="1">
      <alignment vertical="center"/>
    </xf>
    <xf numFmtId="0" fontId="3" fillId="20" borderId="22" xfId="0" applyFont="1" applyFill="1" applyBorder="1" applyAlignment="1">
      <alignment horizontal="center"/>
    </xf>
    <xf numFmtId="1" fontId="3" fillId="20" borderId="22" xfId="0" applyNumberFormat="1" applyFont="1" applyFill="1" applyBorder="1" applyAlignment="1">
      <alignment horizontal="center"/>
    </xf>
    <xf numFmtId="0" fontId="3" fillId="13" borderId="24" xfId="0" applyFont="1" applyFill="1" applyBorder="1" applyAlignment="1">
      <alignment horizontal="left" vertical="center" wrapText="1"/>
    </xf>
    <xf numFmtId="0" fontId="3" fillId="0" borderId="25" xfId="0" applyFont="1" applyBorder="1" applyAlignment="1">
      <alignment vertical="center"/>
    </xf>
    <xf numFmtId="1" fontId="21" fillId="0" borderId="24" xfId="1" applyNumberFormat="1" applyFont="1" applyBorder="1" applyAlignment="1">
      <alignment horizontal="center"/>
    </xf>
    <xf numFmtId="0" fontId="1" fillId="4" borderId="25" xfId="0" applyFont="1" applyFill="1" applyBorder="1" applyAlignment="1">
      <alignment vertical="center" wrapText="1"/>
    </xf>
    <xf numFmtId="1" fontId="3" fillId="0" borderId="24" xfId="1" applyNumberFormat="1" applyFont="1" applyBorder="1" applyAlignment="1">
      <alignment horizontal="center"/>
    </xf>
    <xf numFmtId="0" fontId="3" fillId="5" borderId="25" xfId="0" applyFont="1" applyFill="1" applyBorder="1" applyAlignment="1">
      <alignment vertical="center"/>
    </xf>
    <xf numFmtId="0" fontId="3" fillId="5" borderId="26" xfId="0" applyFont="1" applyFill="1" applyBorder="1" applyAlignment="1">
      <alignment vertical="center"/>
    </xf>
    <xf numFmtId="0" fontId="3" fillId="5" borderId="22" xfId="0" applyFont="1" applyFill="1" applyBorder="1" applyAlignment="1">
      <alignment horizontal="center"/>
    </xf>
    <xf numFmtId="1" fontId="3" fillId="5" borderId="22" xfId="0" applyNumberFormat="1" applyFont="1" applyFill="1" applyBorder="1" applyAlignment="1">
      <alignment horizontal="center"/>
    </xf>
    <xf numFmtId="0" fontId="1" fillId="4" borderId="25" xfId="0" applyFont="1" applyFill="1" applyBorder="1" applyAlignment="1">
      <alignment horizontal="left" vertical="center"/>
    </xf>
    <xf numFmtId="1" fontId="24" fillId="0" borderId="24" xfId="1" applyNumberFormat="1" applyFont="1" applyBorder="1" applyAlignment="1">
      <alignment horizontal="center"/>
    </xf>
    <xf numFmtId="0" fontId="3" fillId="21" borderId="25" xfId="0" applyFont="1" applyFill="1" applyBorder="1" applyAlignment="1">
      <alignment vertical="center"/>
    </xf>
    <xf numFmtId="0" fontId="3" fillId="21" borderId="26" xfId="0" applyFont="1" applyFill="1" applyBorder="1" applyAlignment="1">
      <alignment vertical="center"/>
    </xf>
    <xf numFmtId="0" fontId="3" fillId="21" borderId="22" xfId="0" applyFont="1" applyFill="1" applyBorder="1" applyAlignment="1">
      <alignment horizontal="center"/>
    </xf>
    <xf numFmtId="1" fontId="3" fillId="21" borderId="22" xfId="0" applyNumberFormat="1" applyFont="1" applyFill="1" applyBorder="1" applyAlignment="1">
      <alignment horizontal="center"/>
    </xf>
    <xf numFmtId="2" fontId="1" fillId="22" borderId="22" xfId="0" applyNumberFormat="1" applyFont="1" applyFill="1" applyBorder="1" applyAlignment="1">
      <alignment horizontal="center"/>
    </xf>
    <xf numFmtId="0" fontId="1" fillId="0" borderId="25" xfId="0" applyFont="1" applyBorder="1" applyAlignment="1">
      <alignment horizontal="left" vertical="center"/>
    </xf>
    <xf numFmtId="0" fontId="3" fillId="16" borderId="25" xfId="0" applyFont="1" applyFill="1" applyBorder="1" applyAlignment="1">
      <alignment vertical="center"/>
    </xf>
    <xf numFmtId="0" fontId="3" fillId="16" borderId="26" xfId="0" applyFont="1" applyFill="1" applyBorder="1" applyAlignment="1">
      <alignment vertical="center"/>
    </xf>
    <xf numFmtId="0" fontId="3" fillId="16" borderId="22" xfId="0" applyFont="1" applyFill="1" applyBorder="1" applyAlignment="1">
      <alignment horizontal="center"/>
    </xf>
    <xf numFmtId="1" fontId="3" fillId="16" borderId="24" xfId="0" applyNumberFormat="1" applyFont="1" applyFill="1" applyBorder="1" applyAlignment="1">
      <alignment horizontal="center"/>
    </xf>
    <xf numFmtId="0" fontId="3" fillId="11" borderId="25" xfId="0" applyFont="1" applyFill="1" applyBorder="1" applyAlignment="1">
      <alignment vertical="center"/>
    </xf>
    <xf numFmtId="0" fontId="3" fillId="11" borderId="26" xfId="0" applyFont="1" applyFill="1" applyBorder="1" applyAlignment="1">
      <alignment vertical="center"/>
    </xf>
    <xf numFmtId="1" fontId="3" fillId="11" borderId="22" xfId="0" applyNumberFormat="1" applyFont="1" applyFill="1" applyBorder="1" applyAlignment="1">
      <alignment horizontal="center"/>
    </xf>
    <xf numFmtId="0" fontId="3" fillId="3" borderId="25" xfId="0" applyFont="1" applyFill="1" applyBorder="1" applyAlignment="1">
      <alignment vertical="center"/>
    </xf>
    <xf numFmtId="0" fontId="3" fillId="3" borderId="26" xfId="0" applyFont="1" applyFill="1" applyBorder="1" applyAlignment="1">
      <alignment vertical="center"/>
    </xf>
    <xf numFmtId="0" fontId="3" fillId="3" borderId="22" xfId="0" applyFont="1" applyFill="1" applyBorder="1" applyAlignment="1">
      <alignment horizontal="center"/>
    </xf>
    <xf numFmtId="1" fontId="3" fillId="3" borderId="22" xfId="0" applyNumberFormat="1" applyFont="1" applyFill="1" applyBorder="1" applyAlignment="1">
      <alignment horizontal="center"/>
    </xf>
    <xf numFmtId="0" fontId="1" fillId="13" borderId="27" xfId="0" applyFont="1" applyFill="1" applyBorder="1" applyAlignment="1">
      <alignment horizontal="center"/>
    </xf>
    <xf numFmtId="0" fontId="1" fillId="13" borderId="28" xfId="0" applyFont="1" applyFill="1" applyBorder="1" applyAlignment="1">
      <alignment horizontal="center"/>
    </xf>
    <xf numFmtId="0" fontId="1" fillId="0" borderId="27" xfId="0" applyFont="1" applyBorder="1" applyAlignment="1">
      <alignment horizontal="center" vertical="center"/>
    </xf>
    <xf numFmtId="0" fontId="1" fillId="0" borderId="30" xfId="0" applyFont="1" applyBorder="1" applyAlignment="1">
      <alignment vertical="center" wrapText="1"/>
    </xf>
    <xf numFmtId="0" fontId="1" fillId="0" borderId="31" xfId="0" applyFont="1" applyBorder="1" applyAlignment="1">
      <alignment horizontal="center" vertical="center"/>
    </xf>
    <xf numFmtId="1" fontId="1" fillId="0" borderId="32" xfId="0" applyNumberFormat="1" applyFont="1" applyBorder="1" applyAlignment="1">
      <alignment horizontal="center"/>
    </xf>
    <xf numFmtId="0" fontId="1" fillId="0" borderId="29" xfId="0" applyFont="1" applyBorder="1" applyAlignment="1">
      <alignment horizontal="center" vertical="center"/>
    </xf>
    <xf numFmtId="0" fontId="3" fillId="5" borderId="7" xfId="0" applyFont="1" applyFill="1" applyBorder="1" applyAlignment="1">
      <alignment horizontal="left" vertical="center"/>
    </xf>
    <xf numFmtId="0" fontId="3" fillId="5" borderId="10" xfId="0" applyFont="1" applyFill="1" applyBorder="1" applyAlignment="1">
      <alignment horizontal="center"/>
    </xf>
    <xf numFmtId="1" fontId="3" fillId="5" borderId="7" xfId="0" applyNumberFormat="1" applyFont="1" applyFill="1" applyBorder="1" applyAlignment="1">
      <alignment horizontal="center"/>
    </xf>
    <xf numFmtId="1" fontId="1" fillId="5" borderId="28" xfId="0" applyNumberFormat="1" applyFont="1" applyFill="1" applyBorder="1" applyAlignment="1">
      <alignment horizontal="center"/>
    </xf>
    <xf numFmtId="1" fontId="3" fillId="5" borderId="21" xfId="0" applyNumberFormat="1" applyFont="1" applyFill="1" applyBorder="1" applyAlignment="1">
      <alignment horizontal="center"/>
    </xf>
    <xf numFmtId="0" fontId="25" fillId="4" borderId="0" xfId="0" applyFont="1" applyFill="1" applyBorder="1"/>
    <xf numFmtId="0" fontId="3" fillId="20" borderId="23" xfId="0" applyFont="1" applyFill="1" applyBorder="1" applyAlignment="1">
      <alignment horizontal="center"/>
    </xf>
    <xf numFmtId="1" fontId="3" fillId="20" borderId="23" xfId="0" applyNumberFormat="1" applyFont="1" applyFill="1" applyBorder="1" applyAlignment="1">
      <alignment horizontal="center"/>
    </xf>
    <xf numFmtId="1" fontId="1" fillId="13" borderId="24" xfId="0" applyNumberFormat="1" applyFont="1" applyFill="1" applyBorder="1" applyAlignment="1">
      <alignment horizontal="center"/>
    </xf>
    <xf numFmtId="1" fontId="1" fillId="13" borderId="22" xfId="0" applyNumberFormat="1" applyFont="1" applyFill="1" applyBorder="1" applyAlignment="1">
      <alignment horizontal="center"/>
    </xf>
    <xf numFmtId="0" fontId="3" fillId="23" borderId="25" xfId="0" applyFont="1" applyFill="1" applyBorder="1" applyAlignment="1">
      <alignment vertical="center"/>
    </xf>
    <xf numFmtId="0" fontId="3" fillId="23" borderId="26" xfId="0" applyFont="1" applyFill="1" applyBorder="1" applyAlignment="1">
      <alignment vertical="center"/>
    </xf>
    <xf numFmtId="0" fontId="3" fillId="23" borderId="22" xfId="0" applyFont="1" applyFill="1" applyBorder="1" applyAlignment="1">
      <alignment horizontal="center"/>
    </xf>
    <xf numFmtId="1" fontId="3" fillId="23" borderId="22" xfId="0" applyNumberFormat="1" applyFont="1" applyFill="1" applyBorder="1" applyAlignment="1">
      <alignment horizontal="center"/>
    </xf>
    <xf numFmtId="2" fontId="1" fillId="16" borderId="22" xfId="0" applyNumberFormat="1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/>
    </xf>
    <xf numFmtId="0" fontId="2" fillId="24" borderId="24" xfId="1" applyFont="1" applyFill="1" applyBorder="1" applyAlignment="1">
      <alignment horizontal="center"/>
    </xf>
    <xf numFmtId="0" fontId="1" fillId="24" borderId="24" xfId="1" applyFont="1" applyFill="1" applyBorder="1" applyAlignment="1">
      <alignment horizontal="center"/>
    </xf>
    <xf numFmtId="1" fontId="3" fillId="20" borderId="27" xfId="0" applyNumberFormat="1" applyFont="1" applyFill="1" applyBorder="1" applyAlignment="1">
      <alignment horizontal="center"/>
    </xf>
    <xf numFmtId="1" fontId="3" fillId="20" borderId="31" xfId="0" applyNumberFormat="1" applyFont="1" applyFill="1" applyBorder="1" applyAlignment="1">
      <alignment horizontal="center"/>
    </xf>
    <xf numFmtId="2" fontId="3" fillId="16" borderId="31" xfId="0" applyNumberFormat="1" applyFont="1" applyFill="1" applyBorder="1" applyAlignment="1">
      <alignment horizontal="center"/>
    </xf>
    <xf numFmtId="0" fontId="8" fillId="4" borderId="0" xfId="1" applyFont="1" applyFill="1"/>
    <xf numFmtId="0" fontId="3" fillId="0" borderId="0" xfId="0" applyFont="1" applyAlignment="1">
      <alignment horizontal="center" vertical="center"/>
    </xf>
    <xf numFmtId="0" fontId="3" fillId="6" borderId="33" xfId="0" applyFont="1" applyFill="1" applyBorder="1" applyAlignment="1">
      <alignment horizontal="center" vertical="center"/>
    </xf>
    <xf numFmtId="0" fontId="6" fillId="0" borderId="34" xfId="0" applyFont="1" applyBorder="1"/>
    <xf numFmtId="0" fontId="6" fillId="0" borderId="35" xfId="0" applyFont="1" applyBorder="1"/>
    <xf numFmtId="1" fontId="3" fillId="6" borderId="36" xfId="0" applyNumberFormat="1" applyFont="1" applyFill="1" applyBorder="1" applyAlignment="1">
      <alignment horizontal="center"/>
    </xf>
    <xf numFmtId="1" fontId="3" fillId="6" borderId="37" xfId="0" applyNumberFormat="1" applyFont="1" applyFill="1" applyBorder="1" applyAlignment="1">
      <alignment horizontal="center"/>
    </xf>
    <xf numFmtId="2" fontId="3" fillId="6" borderId="37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15" borderId="0" xfId="0" applyFont="1" applyFill="1" applyBorder="1"/>
    <xf numFmtId="0" fontId="25" fillId="15" borderId="0" xfId="0" applyFont="1" applyFill="1" applyBorder="1"/>
    <xf numFmtId="0" fontId="26" fillId="0" borderId="0" xfId="0" applyFont="1"/>
    <xf numFmtId="0" fontId="14" fillId="0" borderId="11" xfId="1" applyFont="1" applyBorder="1" applyAlignment="1">
      <alignment horizontal="right" vertical="center"/>
    </xf>
    <xf numFmtId="0" fontId="14" fillId="0" borderId="11" xfId="1" applyFont="1" applyBorder="1" applyAlignment="1">
      <alignment horizontal="center" vertical="center"/>
    </xf>
    <xf numFmtId="0" fontId="1" fillId="0" borderId="11" xfId="1" applyFont="1" applyBorder="1"/>
    <xf numFmtId="0" fontId="1" fillId="0" borderId="11" xfId="1" applyFont="1" applyBorder="1" applyAlignment="1">
      <alignment vertical="center"/>
    </xf>
    <xf numFmtId="0" fontId="1" fillId="0" borderId="11" xfId="1" applyFont="1" applyBorder="1" applyAlignment="1">
      <alignment horizontal="center" vertical="center"/>
    </xf>
    <xf numFmtId="0" fontId="1" fillId="0" borderId="11" xfId="1" applyFont="1" applyBorder="1" applyAlignment="1">
      <alignment vertical="top"/>
    </xf>
    <xf numFmtId="0" fontId="1" fillId="0" borderId="11" xfId="1" applyFont="1" applyBorder="1" applyAlignment="1">
      <alignment vertical="center" wrapText="1"/>
    </xf>
    <xf numFmtId="0" fontId="1" fillId="0" borderId="11" xfId="1" applyFont="1" applyBorder="1" applyAlignment="1">
      <alignment horizontal="center" vertical="top"/>
    </xf>
    <xf numFmtId="2" fontId="1" fillId="0" borderId="11" xfId="1" applyNumberFormat="1" applyFont="1" applyBorder="1"/>
    <xf numFmtId="0" fontId="8" fillId="0" borderId="11" xfId="1" applyFont="1" applyBorder="1"/>
    <xf numFmtId="0" fontId="8" fillId="0" borderId="0" xfId="1" applyFont="1"/>
  </cellXfs>
  <cellStyles count="2">
    <cellStyle name="Normal" xfId="0" builtinId="0"/>
    <cellStyle name="Normal 4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0</xdr:rowOff>
    </xdr:from>
    <xdr:ext cx="685800" cy="828675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0"/>
          <a:ext cx="685800" cy="82867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2%20&#3648;&#3604;&#3639;&#3629;&#3609;/&#3649;&#3610;&#3610;&#3648;&#3585;&#3655;&#3610;&#3618;&#3640;&#3607;&#3608;&#3624;&#3634;&#3626;&#3605;&#3619;&#3660;&#3607;&#3637;&#3656;%201-2565%20&#3619;&#3629;&#3610;%2012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K1000"/>
  <sheetViews>
    <sheetView tabSelected="1" view="pageBreakPreview" zoomScale="60" zoomScaleNormal="70" workbookViewId="0">
      <pane xSplit="3" ySplit="4" topLeftCell="D5" activePane="bottomRight" state="frozen"/>
      <selection activeCell="I23" sqref="I23"/>
      <selection pane="topRight" activeCell="I23" sqref="I23"/>
      <selection pane="bottomLeft" activeCell="I23" sqref="I23"/>
      <selection pane="bottomRight" activeCell="I23" sqref="I23"/>
    </sheetView>
  </sheetViews>
  <sheetFormatPr defaultColWidth="12.625" defaultRowHeight="15" customHeight="1" x14ac:dyDescent="0.4"/>
  <cols>
    <col min="1" max="1" width="9.75" style="8" customWidth="1"/>
    <col min="2" max="2" width="13.75" style="8" customWidth="1"/>
    <col min="3" max="3" width="22.875" style="8" customWidth="1"/>
    <col min="4" max="4" width="11.5" style="8" customWidth="1"/>
    <col min="5" max="5" width="30.375" style="8" customWidth="1"/>
    <col min="6" max="6" width="16" style="8" customWidth="1"/>
    <col min="7" max="7" width="17.125" style="8" customWidth="1"/>
    <col min="8" max="8" width="16.375" style="8" customWidth="1"/>
    <col min="9" max="9" width="19.125" style="8" customWidth="1"/>
    <col min="10" max="10" width="26.125" style="8" customWidth="1"/>
    <col min="11" max="11" width="45.375" style="8" customWidth="1"/>
    <col min="12" max="12" width="17" style="8" customWidth="1"/>
    <col min="13" max="37" width="9" style="8" customWidth="1"/>
    <col min="38" max="16384" width="12.625" style="8"/>
  </cols>
  <sheetData>
    <row r="1" spans="1:37" ht="26.25" customHeight="1" x14ac:dyDescent="0.4">
      <c r="A1" s="1" t="s">
        <v>0</v>
      </c>
      <c r="B1" s="2"/>
      <c r="C1" s="3" t="s">
        <v>1</v>
      </c>
      <c r="D1" s="2"/>
      <c r="E1" s="2"/>
      <c r="F1" s="4"/>
      <c r="G1" s="5" t="s">
        <v>2</v>
      </c>
      <c r="H1" s="6"/>
      <c r="I1" s="7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</row>
    <row r="2" spans="1:37" ht="24" customHeight="1" x14ac:dyDescent="0.4">
      <c r="A2" s="10" t="s">
        <v>3</v>
      </c>
      <c r="B2" s="11"/>
      <c r="C2" s="12" t="s">
        <v>4</v>
      </c>
      <c r="D2" s="13"/>
      <c r="E2" s="14"/>
      <c r="F2" s="14"/>
      <c r="G2" s="15" t="s">
        <v>5</v>
      </c>
      <c r="H2" s="16"/>
      <c r="I2" s="7"/>
      <c r="J2" s="17"/>
      <c r="K2" s="17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</row>
    <row r="3" spans="1:37" ht="24" customHeight="1" x14ac:dyDescent="0.4">
      <c r="A3" s="18" t="s">
        <v>6</v>
      </c>
      <c r="B3" s="18" t="s">
        <v>7</v>
      </c>
      <c r="C3" s="18" t="s">
        <v>8</v>
      </c>
      <c r="D3" s="18" t="s">
        <v>9</v>
      </c>
      <c r="E3" s="19" t="s">
        <v>10</v>
      </c>
      <c r="F3" s="20"/>
      <c r="G3" s="20"/>
      <c r="H3" s="21"/>
      <c r="I3" s="7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</row>
    <row r="4" spans="1:37" ht="48" x14ac:dyDescent="0.55000000000000004">
      <c r="A4" s="22" t="s">
        <v>11</v>
      </c>
      <c r="B4" s="23" t="s">
        <v>12</v>
      </c>
      <c r="C4" s="21"/>
      <c r="D4" s="24" t="s">
        <v>13</v>
      </c>
      <c r="E4" s="24" t="s">
        <v>14</v>
      </c>
      <c r="F4" s="24" t="s">
        <v>15</v>
      </c>
      <c r="G4" s="24" t="s">
        <v>16</v>
      </c>
      <c r="H4" s="25" t="s">
        <v>17</v>
      </c>
      <c r="I4" s="26" t="s">
        <v>18</v>
      </c>
      <c r="J4" s="27" t="s">
        <v>19</v>
      </c>
      <c r="K4" s="28" t="s">
        <v>20</v>
      </c>
      <c r="L4" s="9"/>
      <c r="M4" s="29" t="s">
        <v>21</v>
      </c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</row>
    <row r="5" spans="1:37" ht="23.25" customHeight="1" x14ac:dyDescent="0.4">
      <c r="A5" s="30">
        <v>1</v>
      </c>
      <c r="B5" s="31" t="s">
        <v>22</v>
      </c>
      <c r="C5" s="32"/>
      <c r="D5" s="33">
        <v>250</v>
      </c>
      <c r="E5" s="34">
        <v>250</v>
      </c>
      <c r="F5" s="35">
        <f>IFERROR(ROUND((E5/D5)*100,2),0)</f>
        <v>100</v>
      </c>
      <c r="G5" s="36">
        <f t="shared" ref="G5:G19" si="0">IF(F5=0,0,IF(F5="N/A",1,IF(F5&lt;=M$13,1,IF(F5=N$13,2,IF(F5&lt;N$13,(((F5-M$13)/P$11)+1),IF(F5=O$13,3,IF(F5&lt;O$13,(((F5-N$13)/P$11)+2),IF(F5=P$13,4,IF(F5&lt;P$13,(((F5-O$13)/P$11)+3),IF(F5&gt;=Q$13,5,IF(F5&lt;Q$13,(((F5-P$13)/P$11)+4),0)))))))))))</f>
        <v>5</v>
      </c>
      <c r="H5" s="37" t="str">
        <f t="shared" ref="H5:H19" si="1">IF(G5=5,"ü","û")</f>
        <v>ü</v>
      </c>
      <c r="I5" s="34">
        <v>329</v>
      </c>
      <c r="J5" s="38">
        <v>100</v>
      </c>
      <c r="K5" s="39" t="s">
        <v>23</v>
      </c>
      <c r="L5" s="40"/>
      <c r="M5" s="9" t="s">
        <v>24</v>
      </c>
      <c r="N5" s="9"/>
      <c r="O5" s="9"/>
      <c r="P5" s="41">
        <v>100</v>
      </c>
      <c r="Q5" s="9"/>
      <c r="R5" s="9"/>
      <c r="S5" s="42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</row>
    <row r="6" spans="1:37" ht="23.25" customHeight="1" x14ac:dyDescent="0.55000000000000004">
      <c r="A6" s="43">
        <v>2</v>
      </c>
      <c r="B6" s="44" t="s">
        <v>25</v>
      </c>
      <c r="C6" s="21"/>
      <c r="D6" s="45">
        <v>380</v>
      </c>
      <c r="E6" s="46">
        <v>380</v>
      </c>
      <c r="F6" s="35">
        <f t="shared" ref="F6:F18" si="2">IFERROR(ROUND((E6/D6)*100,2),0)</f>
        <v>100</v>
      </c>
      <c r="G6" s="36">
        <f t="shared" si="0"/>
        <v>5</v>
      </c>
      <c r="H6" s="47" t="str">
        <f t="shared" si="1"/>
        <v>ü</v>
      </c>
      <c r="I6" s="46">
        <v>362</v>
      </c>
      <c r="J6" s="48">
        <v>100</v>
      </c>
      <c r="K6" s="46" t="s">
        <v>23</v>
      </c>
      <c r="L6" s="49"/>
      <c r="M6" s="50" t="s">
        <v>26</v>
      </c>
      <c r="N6" s="51" t="s">
        <v>27</v>
      </c>
      <c r="O6" s="51" t="s">
        <v>28</v>
      </c>
      <c r="P6" s="51" t="s">
        <v>29</v>
      </c>
      <c r="Q6" s="51" t="s">
        <v>30</v>
      </c>
      <c r="R6" s="9"/>
      <c r="S6" s="42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</row>
    <row r="7" spans="1:37" ht="24" x14ac:dyDescent="0.4">
      <c r="A7" s="52">
        <v>3</v>
      </c>
      <c r="B7" s="44" t="s">
        <v>31</v>
      </c>
      <c r="C7" s="21"/>
      <c r="D7" s="45">
        <v>420</v>
      </c>
      <c r="E7" s="46">
        <v>420</v>
      </c>
      <c r="F7" s="35">
        <f t="shared" si="2"/>
        <v>100</v>
      </c>
      <c r="G7" s="36">
        <f t="shared" si="0"/>
        <v>5</v>
      </c>
      <c r="H7" s="47" t="str">
        <f t="shared" si="1"/>
        <v>ü</v>
      </c>
      <c r="I7" s="46">
        <v>474</v>
      </c>
      <c r="J7" s="48">
        <v>100</v>
      </c>
      <c r="K7" s="46" t="s">
        <v>23</v>
      </c>
      <c r="L7" s="49"/>
      <c r="M7" s="53">
        <v>3900</v>
      </c>
      <c r="N7" s="54">
        <v>4000</v>
      </c>
      <c r="O7" s="54">
        <v>4100</v>
      </c>
      <c r="P7" s="54">
        <v>4200</v>
      </c>
      <c r="Q7" s="54">
        <v>4300</v>
      </c>
      <c r="R7" s="9"/>
      <c r="S7" s="42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</row>
    <row r="8" spans="1:37" ht="23.25" customHeight="1" x14ac:dyDescent="0.55000000000000004">
      <c r="A8" s="43">
        <v>4</v>
      </c>
      <c r="B8" s="55" t="s">
        <v>32</v>
      </c>
      <c r="C8" s="21"/>
      <c r="D8" s="45">
        <v>733</v>
      </c>
      <c r="E8" s="34">
        <v>733</v>
      </c>
      <c r="F8" s="35">
        <f t="shared" si="2"/>
        <v>100</v>
      </c>
      <c r="G8" s="36">
        <f t="shared" si="0"/>
        <v>5</v>
      </c>
      <c r="H8" s="47" t="str">
        <f t="shared" si="1"/>
        <v>ü</v>
      </c>
      <c r="I8" s="34">
        <v>898</v>
      </c>
      <c r="J8" s="48">
        <v>100</v>
      </c>
      <c r="K8" s="46" t="s">
        <v>23</v>
      </c>
      <c r="L8" s="40"/>
      <c r="M8" s="9"/>
      <c r="N8" s="9"/>
      <c r="O8" s="9"/>
      <c r="P8" s="9"/>
      <c r="Q8" s="9"/>
      <c r="R8" s="9"/>
      <c r="S8" s="42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</row>
    <row r="9" spans="1:37" ht="24" x14ac:dyDescent="0.4">
      <c r="A9" s="52">
        <v>5</v>
      </c>
      <c r="B9" s="55" t="s">
        <v>33</v>
      </c>
      <c r="C9" s="21"/>
      <c r="D9" s="45">
        <v>195</v>
      </c>
      <c r="E9" s="34">
        <v>195</v>
      </c>
      <c r="F9" s="35">
        <f t="shared" si="2"/>
        <v>100</v>
      </c>
      <c r="G9" s="36">
        <f t="shared" si="0"/>
        <v>5</v>
      </c>
      <c r="H9" s="47" t="str">
        <f t="shared" si="1"/>
        <v>ü</v>
      </c>
      <c r="I9" s="34">
        <v>112</v>
      </c>
      <c r="J9" s="48">
        <v>100</v>
      </c>
      <c r="K9" s="46" t="s">
        <v>23</v>
      </c>
      <c r="L9" s="40"/>
      <c r="M9" s="9"/>
      <c r="N9" s="9"/>
      <c r="O9" s="9"/>
      <c r="P9" s="9"/>
      <c r="Q9" s="9"/>
      <c r="R9" s="9"/>
      <c r="S9" s="42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</row>
    <row r="10" spans="1:37" ht="23.25" customHeight="1" x14ac:dyDescent="0.55000000000000004">
      <c r="A10" s="43">
        <v>6</v>
      </c>
      <c r="B10" s="55" t="s">
        <v>34</v>
      </c>
      <c r="C10" s="21"/>
      <c r="D10" s="45">
        <v>210</v>
      </c>
      <c r="E10" s="34">
        <v>210</v>
      </c>
      <c r="F10" s="35">
        <f t="shared" si="2"/>
        <v>100</v>
      </c>
      <c r="G10" s="36">
        <f t="shared" si="0"/>
        <v>5</v>
      </c>
      <c r="H10" s="47" t="str">
        <f t="shared" si="1"/>
        <v>ü</v>
      </c>
      <c r="I10" s="34">
        <v>150</v>
      </c>
      <c r="J10" s="48">
        <v>100</v>
      </c>
      <c r="K10" s="46" t="s">
        <v>23</v>
      </c>
      <c r="L10" s="40"/>
      <c r="M10" s="29" t="s">
        <v>35</v>
      </c>
      <c r="N10" s="9"/>
      <c r="O10" s="9"/>
      <c r="P10" s="9"/>
      <c r="Q10" s="9"/>
      <c r="R10" s="9"/>
      <c r="S10" s="42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</row>
    <row r="11" spans="1:37" ht="24" x14ac:dyDescent="0.4">
      <c r="A11" s="52">
        <v>7</v>
      </c>
      <c r="B11" s="55" t="s">
        <v>36</v>
      </c>
      <c r="C11" s="21"/>
      <c r="D11" s="45">
        <v>123</v>
      </c>
      <c r="E11" s="34">
        <v>123</v>
      </c>
      <c r="F11" s="35">
        <f t="shared" si="2"/>
        <v>100</v>
      </c>
      <c r="G11" s="36">
        <f t="shared" si="0"/>
        <v>5</v>
      </c>
      <c r="H11" s="47" t="str">
        <f t="shared" si="1"/>
        <v>ü</v>
      </c>
      <c r="I11" s="34">
        <v>148</v>
      </c>
      <c r="J11" s="48">
        <v>100</v>
      </c>
      <c r="K11" s="46" t="s">
        <v>23</v>
      </c>
      <c r="L11" s="40"/>
      <c r="M11" s="9" t="s">
        <v>24</v>
      </c>
      <c r="N11" s="9"/>
      <c r="O11" s="9"/>
      <c r="P11" s="42">
        <v>20</v>
      </c>
      <c r="Q11" s="9"/>
      <c r="R11" s="9"/>
      <c r="S11" s="42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</row>
    <row r="12" spans="1:37" ht="23.25" customHeight="1" x14ac:dyDescent="0.55000000000000004">
      <c r="A12" s="43">
        <v>8</v>
      </c>
      <c r="B12" s="55" t="s">
        <v>37</v>
      </c>
      <c r="C12" s="21"/>
      <c r="D12" s="45">
        <v>85</v>
      </c>
      <c r="E12" s="34">
        <v>85</v>
      </c>
      <c r="F12" s="35">
        <f t="shared" si="2"/>
        <v>100</v>
      </c>
      <c r="G12" s="36">
        <f t="shared" si="0"/>
        <v>5</v>
      </c>
      <c r="H12" s="47" t="str">
        <f t="shared" si="1"/>
        <v>ü</v>
      </c>
      <c r="I12" s="34">
        <v>116</v>
      </c>
      <c r="J12" s="48">
        <v>100</v>
      </c>
      <c r="K12" s="46" t="s">
        <v>23</v>
      </c>
      <c r="L12" s="40"/>
      <c r="M12" s="51" t="s">
        <v>26</v>
      </c>
      <c r="N12" s="51" t="s">
        <v>27</v>
      </c>
      <c r="O12" s="51" t="s">
        <v>28</v>
      </c>
      <c r="P12" s="51" t="s">
        <v>29</v>
      </c>
      <c r="Q12" s="51" t="s">
        <v>30</v>
      </c>
      <c r="R12" s="9"/>
      <c r="S12" s="42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</row>
    <row r="13" spans="1:37" ht="23.25" customHeight="1" x14ac:dyDescent="0.4">
      <c r="A13" s="52">
        <v>9</v>
      </c>
      <c r="B13" s="55" t="s">
        <v>38</v>
      </c>
      <c r="C13" s="21"/>
      <c r="D13" s="45">
        <v>105</v>
      </c>
      <c r="E13" s="34">
        <v>105</v>
      </c>
      <c r="F13" s="35">
        <f t="shared" si="2"/>
        <v>100</v>
      </c>
      <c r="G13" s="36">
        <f t="shared" si="0"/>
        <v>5</v>
      </c>
      <c r="H13" s="47" t="str">
        <f t="shared" si="1"/>
        <v>ü</v>
      </c>
      <c r="I13" s="34">
        <v>146</v>
      </c>
      <c r="J13" s="48">
        <v>100</v>
      </c>
      <c r="K13" s="46" t="s">
        <v>23</v>
      </c>
      <c r="L13" s="40"/>
      <c r="M13" s="56">
        <v>20</v>
      </c>
      <c r="N13" s="56">
        <v>40</v>
      </c>
      <c r="O13" s="56">
        <v>60</v>
      </c>
      <c r="P13" s="56">
        <v>80</v>
      </c>
      <c r="Q13" s="56">
        <v>100</v>
      </c>
      <c r="R13" s="9"/>
      <c r="S13" s="42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</row>
    <row r="14" spans="1:37" ht="23.25" customHeight="1" x14ac:dyDescent="0.55000000000000004">
      <c r="A14" s="43">
        <v>10</v>
      </c>
      <c r="B14" s="55" t="s">
        <v>39</v>
      </c>
      <c r="C14" s="21"/>
      <c r="D14" s="45">
        <v>460</v>
      </c>
      <c r="E14" s="34">
        <v>460</v>
      </c>
      <c r="F14" s="35">
        <f t="shared" si="2"/>
        <v>100</v>
      </c>
      <c r="G14" s="36">
        <f t="shared" si="0"/>
        <v>5</v>
      </c>
      <c r="H14" s="47" t="str">
        <f t="shared" si="1"/>
        <v>ü</v>
      </c>
      <c r="I14" s="34">
        <v>621</v>
      </c>
      <c r="J14" s="48">
        <v>100</v>
      </c>
      <c r="K14" s="46" t="s">
        <v>23</v>
      </c>
      <c r="L14" s="40"/>
      <c r="M14" s="9"/>
      <c r="N14" s="9"/>
      <c r="O14" s="9"/>
      <c r="P14" s="9"/>
      <c r="Q14" s="9"/>
      <c r="R14" s="9"/>
      <c r="S14" s="42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</row>
    <row r="15" spans="1:37" ht="23.25" customHeight="1" x14ac:dyDescent="0.4">
      <c r="A15" s="52">
        <v>11</v>
      </c>
      <c r="B15" s="55" t="s">
        <v>40</v>
      </c>
      <c r="C15" s="21"/>
      <c r="D15" s="45">
        <v>39</v>
      </c>
      <c r="E15" s="34">
        <v>39</v>
      </c>
      <c r="F15" s="35">
        <f t="shared" si="2"/>
        <v>100</v>
      </c>
      <c r="G15" s="36">
        <f t="shared" si="0"/>
        <v>5</v>
      </c>
      <c r="H15" s="47" t="str">
        <f t="shared" si="1"/>
        <v>ü</v>
      </c>
      <c r="I15" s="34">
        <v>26</v>
      </c>
      <c r="J15" s="48">
        <v>100</v>
      </c>
      <c r="K15" s="46" t="s">
        <v>23</v>
      </c>
      <c r="L15" s="40"/>
      <c r="M15" s="9"/>
      <c r="N15" s="9"/>
      <c r="O15" s="9"/>
      <c r="P15" s="9"/>
      <c r="Q15" s="9"/>
      <c r="R15" s="9"/>
      <c r="S15" s="42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</row>
    <row r="16" spans="1:37" ht="23.25" customHeight="1" x14ac:dyDescent="0.55000000000000004">
      <c r="A16" s="43">
        <v>12</v>
      </c>
      <c r="B16" s="55" t="s">
        <v>41</v>
      </c>
      <c r="C16" s="21"/>
      <c r="D16" s="45">
        <v>433</v>
      </c>
      <c r="E16" s="34">
        <v>433</v>
      </c>
      <c r="F16" s="35">
        <f t="shared" si="2"/>
        <v>100</v>
      </c>
      <c r="G16" s="36">
        <f t="shared" si="0"/>
        <v>5</v>
      </c>
      <c r="H16" s="47" t="str">
        <f t="shared" si="1"/>
        <v>ü</v>
      </c>
      <c r="I16" s="34">
        <v>562</v>
      </c>
      <c r="J16" s="48">
        <v>100</v>
      </c>
      <c r="K16" s="46" t="s">
        <v>23</v>
      </c>
      <c r="L16" s="40"/>
      <c r="M16" s="9"/>
      <c r="N16" s="9"/>
      <c r="O16" s="9"/>
      <c r="P16" s="9"/>
      <c r="Q16" s="9"/>
      <c r="R16" s="9"/>
      <c r="S16" s="42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</row>
    <row r="17" spans="1:37" ht="23.25" customHeight="1" x14ac:dyDescent="0.4">
      <c r="A17" s="52">
        <v>13</v>
      </c>
      <c r="B17" s="55" t="s">
        <v>42</v>
      </c>
      <c r="C17" s="21"/>
      <c r="D17" s="45">
        <v>427</v>
      </c>
      <c r="E17" s="34">
        <v>427</v>
      </c>
      <c r="F17" s="35">
        <f t="shared" si="2"/>
        <v>100</v>
      </c>
      <c r="G17" s="36">
        <f t="shared" si="0"/>
        <v>5</v>
      </c>
      <c r="H17" s="47" t="str">
        <f t="shared" si="1"/>
        <v>ü</v>
      </c>
      <c r="I17" s="34">
        <v>444</v>
      </c>
      <c r="J17" s="48">
        <v>100</v>
      </c>
      <c r="K17" s="46" t="s">
        <v>23</v>
      </c>
      <c r="L17" s="40"/>
      <c r="M17" s="9"/>
      <c r="N17" s="9"/>
      <c r="O17" s="9"/>
      <c r="P17" s="9"/>
      <c r="Q17" s="9"/>
      <c r="R17" s="9"/>
      <c r="S17" s="42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</row>
    <row r="18" spans="1:37" ht="23.25" customHeight="1" x14ac:dyDescent="0.55000000000000004">
      <c r="A18" s="43">
        <v>14</v>
      </c>
      <c r="B18" s="55" t="s">
        <v>43</v>
      </c>
      <c r="C18" s="21"/>
      <c r="D18" s="45">
        <v>440</v>
      </c>
      <c r="E18" s="34">
        <v>440</v>
      </c>
      <c r="F18" s="35">
        <f t="shared" si="2"/>
        <v>100</v>
      </c>
      <c r="G18" s="36">
        <f t="shared" si="0"/>
        <v>5</v>
      </c>
      <c r="H18" s="47" t="str">
        <f t="shared" si="1"/>
        <v>ü</v>
      </c>
      <c r="I18" s="34">
        <v>488</v>
      </c>
      <c r="J18" s="48">
        <v>102.27</v>
      </c>
      <c r="K18" s="46" t="s">
        <v>23</v>
      </c>
      <c r="L18" s="40"/>
      <c r="M18" s="9"/>
      <c r="N18" s="9"/>
      <c r="O18" s="9"/>
      <c r="P18" s="9"/>
      <c r="Q18" s="9"/>
      <c r="R18" s="9"/>
      <c r="S18" s="42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</row>
    <row r="19" spans="1:37" ht="24" customHeight="1" x14ac:dyDescent="0.4">
      <c r="A19" s="57" t="s">
        <v>21</v>
      </c>
      <c r="B19" s="20"/>
      <c r="C19" s="21"/>
      <c r="D19" s="58">
        <v>4300</v>
      </c>
      <c r="E19" s="59">
        <f>SUM(E5:E18)</f>
        <v>4300</v>
      </c>
      <c r="F19" s="60">
        <f>IFERROR(ROUND((E19/D19)*100,2),0)</f>
        <v>100</v>
      </c>
      <c r="G19" s="61">
        <f t="shared" si="0"/>
        <v>5</v>
      </c>
      <c r="H19" s="62" t="str">
        <f t="shared" si="1"/>
        <v>ü</v>
      </c>
      <c r="I19" s="63">
        <f>SUM(I5:I18)</f>
        <v>4876</v>
      </c>
      <c r="J19" s="64"/>
      <c r="K19" s="65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</row>
    <row r="20" spans="1:37" ht="24" customHeight="1" x14ac:dyDescent="0.55000000000000004">
      <c r="A20" s="66" t="s">
        <v>44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</row>
    <row r="21" spans="1:37" ht="39.75" customHeight="1" x14ac:dyDescent="0.4">
      <c r="A21" s="67" t="s">
        <v>45</v>
      </c>
      <c r="B21" s="6"/>
      <c r="C21" s="68" t="s">
        <v>46</v>
      </c>
      <c r="D21" s="2"/>
      <c r="E21" s="6"/>
      <c r="F21" s="69" t="s">
        <v>2</v>
      </c>
      <c r="G21" s="69" t="s">
        <v>47</v>
      </c>
      <c r="H21" s="69" t="s">
        <v>17</v>
      </c>
      <c r="I21" s="70" t="s">
        <v>19</v>
      </c>
      <c r="J21" s="71"/>
      <c r="K21" s="72" t="s">
        <v>20</v>
      </c>
      <c r="L21" s="73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</row>
    <row r="22" spans="1:37" ht="37.5" customHeight="1" x14ac:dyDescent="0.4">
      <c r="A22" s="74"/>
      <c r="B22" s="32"/>
      <c r="C22" s="74"/>
      <c r="D22" s="11"/>
      <c r="E22" s="32"/>
      <c r="F22" s="75">
        <v>5</v>
      </c>
      <c r="G22" s="76">
        <v>5</v>
      </c>
      <c r="H22" s="77" t="str">
        <f>IF(G22=5,"ü","û")</f>
        <v>ü</v>
      </c>
      <c r="I22" s="78">
        <v>5</v>
      </c>
      <c r="J22" s="79"/>
      <c r="K22" s="34"/>
      <c r="L22" s="73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</row>
    <row r="23" spans="1:37" ht="24" customHeight="1" x14ac:dyDescent="0.4">
      <c r="A23" s="73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</row>
    <row r="24" spans="1:37" ht="24" customHeight="1" x14ac:dyDescent="0.4">
      <c r="A24" s="73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</row>
    <row r="25" spans="1:37" ht="24" customHeight="1" x14ac:dyDescent="0.75">
      <c r="A25" s="80" t="s">
        <v>48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</row>
    <row r="26" spans="1:37" ht="24" customHeight="1" x14ac:dyDescent="0.4">
      <c r="A26" s="73" t="str">
        <f t="shared" ref="A26:B41" si="3">A4</f>
        <v>ลำดับ</v>
      </c>
      <c r="B26" s="9" t="str">
        <f t="shared" si="3"/>
        <v>หน่วยงาน</v>
      </c>
      <c r="C26" s="9" t="e">
        <f>#REF!</f>
        <v>#REF!</v>
      </c>
      <c r="D26" s="9" t="str">
        <f>D4</f>
        <v>เป้าหมาย</v>
      </c>
      <c r="E26" s="82" t="s">
        <v>49</v>
      </c>
      <c r="F26" s="9" t="s">
        <v>50</v>
      </c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</row>
    <row r="27" spans="1:37" ht="24" customHeight="1" x14ac:dyDescent="0.4">
      <c r="A27" s="73">
        <f t="shared" si="3"/>
        <v>1</v>
      </c>
      <c r="B27" s="9" t="s">
        <v>51</v>
      </c>
      <c r="C27" s="9">
        <f t="shared" ref="C27:F41" si="4">C5</f>
        <v>0</v>
      </c>
      <c r="D27" s="83">
        <f t="shared" si="4"/>
        <v>250</v>
      </c>
      <c r="E27" s="9">
        <f t="shared" si="4"/>
        <v>250</v>
      </c>
      <c r="F27" s="42">
        <f t="shared" si="4"/>
        <v>100</v>
      </c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</row>
    <row r="28" spans="1:37" ht="24" customHeight="1" x14ac:dyDescent="0.4">
      <c r="A28" s="73">
        <f t="shared" si="3"/>
        <v>2</v>
      </c>
      <c r="B28" s="9" t="s">
        <v>52</v>
      </c>
      <c r="C28" s="9">
        <f t="shared" si="4"/>
        <v>0</v>
      </c>
      <c r="D28" s="83">
        <f t="shared" si="4"/>
        <v>380</v>
      </c>
      <c r="E28" s="9">
        <f t="shared" si="4"/>
        <v>380</v>
      </c>
      <c r="F28" s="42">
        <f t="shared" si="4"/>
        <v>100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</row>
    <row r="29" spans="1:37" ht="24" customHeight="1" x14ac:dyDescent="0.4">
      <c r="A29" s="73">
        <f t="shared" si="3"/>
        <v>3</v>
      </c>
      <c r="B29" s="9" t="s">
        <v>53</v>
      </c>
      <c r="C29" s="9">
        <f t="shared" si="4"/>
        <v>0</v>
      </c>
      <c r="D29" s="83">
        <f t="shared" si="4"/>
        <v>420</v>
      </c>
      <c r="E29" s="9">
        <f t="shared" si="4"/>
        <v>420</v>
      </c>
      <c r="F29" s="42">
        <f t="shared" si="4"/>
        <v>100</v>
      </c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</row>
    <row r="30" spans="1:37" ht="24" customHeight="1" x14ac:dyDescent="0.4">
      <c r="A30" s="73">
        <f t="shared" si="3"/>
        <v>4</v>
      </c>
      <c r="B30" s="9" t="s">
        <v>54</v>
      </c>
      <c r="C30" s="9">
        <f t="shared" si="4"/>
        <v>0</v>
      </c>
      <c r="D30" s="83">
        <f t="shared" si="4"/>
        <v>733</v>
      </c>
      <c r="E30" s="9">
        <f t="shared" si="4"/>
        <v>733</v>
      </c>
      <c r="F30" s="42">
        <f t="shared" si="4"/>
        <v>100</v>
      </c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</row>
    <row r="31" spans="1:37" ht="24" customHeight="1" x14ac:dyDescent="0.4">
      <c r="A31" s="73">
        <f t="shared" si="3"/>
        <v>5</v>
      </c>
      <c r="B31" s="9" t="s">
        <v>55</v>
      </c>
      <c r="C31" s="9">
        <f t="shared" si="4"/>
        <v>0</v>
      </c>
      <c r="D31" s="83">
        <f t="shared" si="4"/>
        <v>195</v>
      </c>
      <c r="E31" s="9">
        <f t="shared" si="4"/>
        <v>195</v>
      </c>
      <c r="F31" s="42">
        <f t="shared" si="4"/>
        <v>100</v>
      </c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</row>
    <row r="32" spans="1:37" ht="24" customHeight="1" x14ac:dyDescent="0.4">
      <c r="A32" s="73">
        <f t="shared" si="3"/>
        <v>6</v>
      </c>
      <c r="B32" s="9" t="s">
        <v>56</v>
      </c>
      <c r="C32" s="9">
        <f t="shared" si="4"/>
        <v>0</v>
      </c>
      <c r="D32" s="83">
        <f t="shared" si="4"/>
        <v>210</v>
      </c>
      <c r="E32" s="9">
        <f t="shared" si="4"/>
        <v>210</v>
      </c>
      <c r="F32" s="42">
        <f t="shared" si="4"/>
        <v>100</v>
      </c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</row>
    <row r="33" spans="1:37" ht="24" customHeight="1" x14ac:dyDescent="0.4">
      <c r="A33" s="73">
        <f t="shared" si="3"/>
        <v>7</v>
      </c>
      <c r="B33" s="9" t="s">
        <v>57</v>
      </c>
      <c r="C33" s="9">
        <f t="shared" si="4"/>
        <v>0</v>
      </c>
      <c r="D33" s="83">
        <f t="shared" si="4"/>
        <v>123</v>
      </c>
      <c r="E33" s="9">
        <f t="shared" si="4"/>
        <v>123</v>
      </c>
      <c r="F33" s="42">
        <f t="shared" si="4"/>
        <v>100</v>
      </c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</row>
    <row r="34" spans="1:37" ht="24" customHeight="1" x14ac:dyDescent="0.4">
      <c r="A34" s="73">
        <f t="shared" si="3"/>
        <v>8</v>
      </c>
      <c r="B34" s="9" t="s">
        <v>58</v>
      </c>
      <c r="C34" s="9">
        <f t="shared" si="4"/>
        <v>0</v>
      </c>
      <c r="D34" s="83">
        <f t="shared" si="4"/>
        <v>85</v>
      </c>
      <c r="E34" s="9">
        <f t="shared" si="4"/>
        <v>85</v>
      </c>
      <c r="F34" s="42">
        <f t="shared" si="4"/>
        <v>100</v>
      </c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</row>
    <row r="35" spans="1:37" ht="24" customHeight="1" x14ac:dyDescent="0.4">
      <c r="A35" s="73">
        <f t="shared" si="3"/>
        <v>9</v>
      </c>
      <c r="B35" s="9" t="s">
        <v>59</v>
      </c>
      <c r="C35" s="9">
        <f t="shared" si="4"/>
        <v>0</v>
      </c>
      <c r="D35" s="83">
        <f t="shared" si="4"/>
        <v>105</v>
      </c>
      <c r="E35" s="9">
        <f t="shared" si="4"/>
        <v>105</v>
      </c>
      <c r="F35" s="42">
        <f t="shared" si="4"/>
        <v>100</v>
      </c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</row>
    <row r="36" spans="1:37" ht="24" customHeight="1" x14ac:dyDescent="0.4">
      <c r="A36" s="73">
        <f t="shared" si="3"/>
        <v>10</v>
      </c>
      <c r="B36" s="9" t="s">
        <v>60</v>
      </c>
      <c r="C36" s="9">
        <f t="shared" si="4"/>
        <v>0</v>
      </c>
      <c r="D36" s="83">
        <f t="shared" si="4"/>
        <v>460</v>
      </c>
      <c r="E36" s="9">
        <f t="shared" si="4"/>
        <v>460</v>
      </c>
      <c r="F36" s="42">
        <f t="shared" si="4"/>
        <v>100</v>
      </c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</row>
    <row r="37" spans="1:37" ht="24" customHeight="1" x14ac:dyDescent="0.4">
      <c r="A37" s="73">
        <f t="shared" si="3"/>
        <v>11</v>
      </c>
      <c r="B37" s="9" t="s">
        <v>61</v>
      </c>
      <c r="C37" s="9">
        <f t="shared" si="4"/>
        <v>0</v>
      </c>
      <c r="D37" s="83">
        <f t="shared" si="4"/>
        <v>39</v>
      </c>
      <c r="E37" s="9">
        <f t="shared" si="4"/>
        <v>39</v>
      </c>
      <c r="F37" s="42">
        <f t="shared" si="4"/>
        <v>100</v>
      </c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</row>
    <row r="38" spans="1:37" ht="24" customHeight="1" x14ac:dyDescent="0.4">
      <c r="A38" s="73">
        <f t="shared" si="3"/>
        <v>12</v>
      </c>
      <c r="B38" s="9" t="s">
        <v>62</v>
      </c>
      <c r="C38" s="9">
        <f t="shared" si="4"/>
        <v>0</v>
      </c>
      <c r="D38" s="83">
        <f t="shared" si="4"/>
        <v>433</v>
      </c>
      <c r="E38" s="9">
        <f t="shared" si="4"/>
        <v>433</v>
      </c>
      <c r="F38" s="42">
        <f t="shared" si="4"/>
        <v>100</v>
      </c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</row>
    <row r="39" spans="1:37" ht="24" customHeight="1" x14ac:dyDescent="0.4">
      <c r="A39" s="73">
        <f t="shared" si="3"/>
        <v>13</v>
      </c>
      <c r="B39" s="9" t="s">
        <v>63</v>
      </c>
      <c r="C39" s="9">
        <f t="shared" si="4"/>
        <v>0</v>
      </c>
      <c r="D39" s="83">
        <f t="shared" si="4"/>
        <v>427</v>
      </c>
      <c r="E39" s="9">
        <f t="shared" si="4"/>
        <v>427</v>
      </c>
      <c r="F39" s="42">
        <f t="shared" si="4"/>
        <v>100</v>
      </c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</row>
    <row r="40" spans="1:37" ht="24" customHeight="1" x14ac:dyDescent="0.4">
      <c r="A40" s="73">
        <f t="shared" si="3"/>
        <v>14</v>
      </c>
      <c r="B40" s="9" t="s">
        <v>64</v>
      </c>
      <c r="C40" s="9">
        <f t="shared" si="4"/>
        <v>0</v>
      </c>
      <c r="D40" s="83">
        <f t="shared" si="4"/>
        <v>440</v>
      </c>
      <c r="E40" s="9">
        <f t="shared" si="4"/>
        <v>440</v>
      </c>
      <c r="F40" s="42">
        <f t="shared" si="4"/>
        <v>100</v>
      </c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</row>
    <row r="41" spans="1:37" ht="24" customHeight="1" x14ac:dyDescent="0.4">
      <c r="A41" s="73" t="str">
        <f t="shared" si="3"/>
        <v>ระดับมหาวิทยาลัย</v>
      </c>
      <c r="B41" s="9" t="s">
        <v>65</v>
      </c>
      <c r="C41" s="9">
        <f t="shared" si="4"/>
        <v>0</v>
      </c>
      <c r="D41" s="83">
        <f t="shared" si="4"/>
        <v>4300</v>
      </c>
      <c r="E41" s="41">
        <f t="shared" si="4"/>
        <v>4300</v>
      </c>
      <c r="F41" s="42">
        <f t="shared" si="4"/>
        <v>100</v>
      </c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</row>
    <row r="42" spans="1:37" ht="24" customHeight="1" x14ac:dyDescent="0.4">
      <c r="A42" s="73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</row>
    <row r="43" spans="1:37" ht="24" customHeight="1" x14ac:dyDescent="0.4">
      <c r="A43" s="73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</row>
    <row r="44" spans="1:37" ht="24" customHeight="1" x14ac:dyDescent="0.4">
      <c r="A44" s="73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</row>
    <row r="45" spans="1:37" ht="24" customHeight="1" x14ac:dyDescent="0.4">
      <c r="A45" s="73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</row>
    <row r="46" spans="1:37" ht="24" customHeight="1" x14ac:dyDescent="0.4">
      <c r="A46" s="73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</row>
    <row r="47" spans="1:37" ht="24" customHeight="1" x14ac:dyDescent="0.4">
      <c r="A47" s="73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</row>
    <row r="48" spans="1:37" ht="24" customHeight="1" x14ac:dyDescent="0.4">
      <c r="A48" s="73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</row>
    <row r="49" spans="1:37" ht="24" customHeight="1" x14ac:dyDescent="0.4">
      <c r="A49" s="73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</row>
    <row r="50" spans="1:37" ht="24" customHeight="1" x14ac:dyDescent="0.4">
      <c r="A50" s="73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</row>
    <row r="51" spans="1:37" ht="24" customHeight="1" x14ac:dyDescent="0.4">
      <c r="A51" s="73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</row>
    <row r="52" spans="1:37" ht="24" customHeight="1" x14ac:dyDescent="0.4">
      <c r="A52" s="73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</row>
    <row r="53" spans="1:37" ht="24" customHeight="1" x14ac:dyDescent="0.4">
      <c r="A53" s="73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</row>
    <row r="54" spans="1:37" ht="24" customHeight="1" x14ac:dyDescent="0.4">
      <c r="A54" s="73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</row>
    <row r="55" spans="1:37" ht="24" customHeight="1" x14ac:dyDescent="0.4">
      <c r="A55" s="73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</row>
    <row r="56" spans="1:37" ht="24" customHeight="1" x14ac:dyDescent="0.4">
      <c r="A56" s="73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</row>
    <row r="57" spans="1:37" ht="24" customHeight="1" x14ac:dyDescent="0.4">
      <c r="A57" s="73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</row>
    <row r="58" spans="1:37" ht="24" customHeight="1" x14ac:dyDescent="0.4">
      <c r="A58" s="73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</row>
    <row r="59" spans="1:37" ht="24" customHeight="1" x14ac:dyDescent="0.4">
      <c r="A59" s="73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</row>
    <row r="60" spans="1:37" ht="24" customHeight="1" x14ac:dyDescent="0.4">
      <c r="A60" s="73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</row>
    <row r="61" spans="1:37" ht="24" customHeight="1" x14ac:dyDescent="0.4">
      <c r="A61" s="73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</row>
    <row r="62" spans="1:37" ht="24" customHeight="1" x14ac:dyDescent="0.4">
      <c r="A62" s="73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</row>
    <row r="63" spans="1:37" ht="24" customHeight="1" x14ac:dyDescent="0.4">
      <c r="A63" s="73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</row>
    <row r="64" spans="1:37" ht="24" customHeight="1" x14ac:dyDescent="0.4">
      <c r="A64" s="73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</row>
    <row r="65" spans="1:37" ht="24" customHeight="1" x14ac:dyDescent="0.4">
      <c r="A65" s="73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</row>
    <row r="66" spans="1:37" ht="24" customHeight="1" x14ac:dyDescent="0.4">
      <c r="A66" s="73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</row>
    <row r="67" spans="1:37" ht="24" customHeight="1" x14ac:dyDescent="0.4">
      <c r="A67" s="73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</row>
    <row r="68" spans="1:37" ht="24" customHeight="1" x14ac:dyDescent="0.4">
      <c r="A68" s="73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</row>
    <row r="69" spans="1:37" ht="24" customHeight="1" x14ac:dyDescent="0.4">
      <c r="A69" s="73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</row>
    <row r="70" spans="1:37" ht="24" customHeight="1" x14ac:dyDescent="0.4">
      <c r="A70" s="73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</row>
    <row r="71" spans="1:37" ht="24" customHeight="1" x14ac:dyDescent="0.4">
      <c r="A71" s="73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</row>
    <row r="72" spans="1:37" ht="24" customHeight="1" x14ac:dyDescent="0.4">
      <c r="A72" s="73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</row>
    <row r="73" spans="1:37" ht="24" customHeight="1" x14ac:dyDescent="0.4">
      <c r="A73" s="73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</row>
    <row r="74" spans="1:37" ht="24" customHeight="1" x14ac:dyDescent="0.4">
      <c r="A74" s="73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</row>
    <row r="75" spans="1:37" ht="24" customHeight="1" x14ac:dyDescent="0.4">
      <c r="A75" s="73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</row>
    <row r="76" spans="1:37" ht="24" customHeight="1" x14ac:dyDescent="0.4">
      <c r="A76" s="73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</row>
    <row r="77" spans="1:37" ht="24" customHeight="1" x14ac:dyDescent="0.4">
      <c r="A77" s="73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</row>
    <row r="78" spans="1:37" ht="24" customHeight="1" x14ac:dyDescent="0.4">
      <c r="A78" s="73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</row>
    <row r="79" spans="1:37" ht="24" customHeight="1" x14ac:dyDescent="0.4">
      <c r="A79" s="73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</row>
    <row r="80" spans="1:37" ht="24" customHeight="1" x14ac:dyDescent="0.4">
      <c r="A80" s="73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</row>
    <row r="81" spans="1:37" ht="24" customHeight="1" x14ac:dyDescent="0.4">
      <c r="A81" s="73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</row>
    <row r="82" spans="1:37" ht="24" customHeight="1" x14ac:dyDescent="0.4">
      <c r="A82" s="73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</row>
    <row r="83" spans="1:37" ht="24" customHeight="1" x14ac:dyDescent="0.4">
      <c r="A83" s="73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</row>
    <row r="84" spans="1:37" ht="24" customHeight="1" x14ac:dyDescent="0.4">
      <c r="A84" s="73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</row>
    <row r="85" spans="1:37" ht="24" customHeight="1" x14ac:dyDescent="0.4">
      <c r="A85" s="73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</row>
    <row r="86" spans="1:37" ht="24" customHeight="1" x14ac:dyDescent="0.4">
      <c r="A86" s="73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</row>
    <row r="87" spans="1:37" ht="24" customHeight="1" x14ac:dyDescent="0.4">
      <c r="A87" s="73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</row>
    <row r="88" spans="1:37" ht="24" customHeight="1" x14ac:dyDescent="0.4">
      <c r="A88" s="73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</row>
    <row r="89" spans="1:37" ht="24" customHeight="1" x14ac:dyDescent="0.4">
      <c r="A89" s="73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</row>
    <row r="90" spans="1:37" ht="24" customHeight="1" x14ac:dyDescent="0.4">
      <c r="A90" s="73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</row>
    <row r="91" spans="1:37" ht="24" customHeight="1" x14ac:dyDescent="0.4">
      <c r="A91" s="73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</row>
    <row r="92" spans="1:37" ht="24" customHeight="1" x14ac:dyDescent="0.4">
      <c r="A92" s="73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</row>
    <row r="93" spans="1:37" ht="24" customHeight="1" x14ac:dyDescent="0.4">
      <c r="A93" s="73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</row>
    <row r="94" spans="1:37" ht="24" customHeight="1" x14ac:dyDescent="0.4">
      <c r="A94" s="73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</row>
    <row r="95" spans="1:37" ht="24" customHeight="1" x14ac:dyDescent="0.4">
      <c r="A95" s="73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</row>
    <row r="96" spans="1:37" ht="24" customHeight="1" x14ac:dyDescent="0.4">
      <c r="A96" s="73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</row>
    <row r="97" spans="1:37" ht="24" customHeight="1" x14ac:dyDescent="0.4">
      <c r="A97" s="73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</row>
    <row r="98" spans="1:37" ht="24" customHeight="1" x14ac:dyDescent="0.4">
      <c r="A98" s="73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</row>
    <row r="99" spans="1:37" ht="24" customHeight="1" x14ac:dyDescent="0.4">
      <c r="A99" s="73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</row>
    <row r="100" spans="1:37" ht="24" customHeight="1" x14ac:dyDescent="0.4">
      <c r="A100" s="73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</row>
    <row r="101" spans="1:37" ht="24" customHeight="1" x14ac:dyDescent="0.4">
      <c r="A101" s="73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</row>
    <row r="102" spans="1:37" ht="24" customHeight="1" x14ac:dyDescent="0.4">
      <c r="A102" s="73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</row>
    <row r="103" spans="1:37" ht="24" customHeight="1" x14ac:dyDescent="0.4">
      <c r="A103" s="73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</row>
    <row r="104" spans="1:37" ht="24" customHeight="1" x14ac:dyDescent="0.4">
      <c r="A104" s="73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</row>
    <row r="105" spans="1:37" ht="24" customHeight="1" x14ac:dyDescent="0.4">
      <c r="A105" s="73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</row>
    <row r="106" spans="1:37" ht="24" customHeight="1" x14ac:dyDescent="0.4">
      <c r="A106" s="73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</row>
    <row r="107" spans="1:37" ht="24" customHeight="1" x14ac:dyDescent="0.4">
      <c r="A107" s="73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</row>
    <row r="108" spans="1:37" ht="24" customHeight="1" x14ac:dyDescent="0.4">
      <c r="A108" s="73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</row>
    <row r="109" spans="1:37" ht="24" customHeight="1" x14ac:dyDescent="0.4">
      <c r="A109" s="73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</row>
    <row r="110" spans="1:37" ht="24" customHeight="1" x14ac:dyDescent="0.4">
      <c r="A110" s="73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</row>
    <row r="111" spans="1:37" ht="24" customHeight="1" x14ac:dyDescent="0.4">
      <c r="A111" s="73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</row>
    <row r="112" spans="1:37" ht="24" customHeight="1" x14ac:dyDescent="0.4">
      <c r="A112" s="73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</row>
    <row r="113" spans="1:37" ht="24" customHeight="1" x14ac:dyDescent="0.4">
      <c r="A113" s="73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</row>
    <row r="114" spans="1:37" ht="24" customHeight="1" x14ac:dyDescent="0.4">
      <c r="A114" s="73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</row>
    <row r="115" spans="1:37" ht="24" customHeight="1" x14ac:dyDescent="0.4">
      <c r="A115" s="73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</row>
    <row r="116" spans="1:37" ht="24" customHeight="1" x14ac:dyDescent="0.4">
      <c r="A116" s="73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</row>
    <row r="117" spans="1:37" ht="24" customHeight="1" x14ac:dyDescent="0.4">
      <c r="A117" s="73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</row>
    <row r="118" spans="1:37" ht="24" customHeight="1" x14ac:dyDescent="0.4">
      <c r="A118" s="73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</row>
    <row r="119" spans="1:37" ht="24" customHeight="1" x14ac:dyDescent="0.4">
      <c r="A119" s="73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</row>
    <row r="120" spans="1:37" ht="24" customHeight="1" x14ac:dyDescent="0.4">
      <c r="A120" s="73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</row>
    <row r="121" spans="1:37" ht="24" customHeight="1" x14ac:dyDescent="0.4">
      <c r="A121" s="73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</row>
    <row r="122" spans="1:37" ht="24" customHeight="1" x14ac:dyDescent="0.4">
      <c r="A122" s="73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</row>
    <row r="123" spans="1:37" ht="24" customHeight="1" x14ac:dyDescent="0.4">
      <c r="A123" s="73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</row>
    <row r="124" spans="1:37" ht="24" customHeight="1" x14ac:dyDescent="0.4">
      <c r="A124" s="73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</row>
    <row r="125" spans="1:37" ht="24" customHeight="1" x14ac:dyDescent="0.4">
      <c r="A125" s="73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</row>
    <row r="126" spans="1:37" ht="24" customHeight="1" x14ac:dyDescent="0.4">
      <c r="A126" s="73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</row>
    <row r="127" spans="1:37" ht="24" customHeight="1" x14ac:dyDescent="0.4"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</row>
    <row r="128" spans="1:37" ht="24" customHeight="1" x14ac:dyDescent="0.4"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</row>
    <row r="129" spans="2:37" ht="24" customHeight="1" x14ac:dyDescent="0.2"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</row>
    <row r="130" spans="2:37" ht="24" customHeight="1" x14ac:dyDescent="0.2"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</row>
    <row r="131" spans="2:37" ht="24" customHeight="1" x14ac:dyDescent="0.2"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</row>
    <row r="132" spans="2:37" ht="24" customHeight="1" x14ac:dyDescent="0.2"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</row>
    <row r="133" spans="2:37" ht="24" customHeight="1" x14ac:dyDescent="0.2"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</row>
    <row r="134" spans="2:37" ht="24" customHeight="1" x14ac:dyDescent="0.2"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</row>
    <row r="135" spans="2:37" ht="24" customHeight="1" x14ac:dyDescent="0.2"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</row>
    <row r="136" spans="2:37" ht="24" customHeight="1" x14ac:dyDescent="0.2"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</row>
    <row r="137" spans="2:37" ht="24" customHeight="1" x14ac:dyDescent="0.2"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</row>
    <row r="138" spans="2:37" ht="24" customHeight="1" x14ac:dyDescent="0.2">
      <c r="B138" s="84"/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</row>
    <row r="139" spans="2:37" ht="24" customHeight="1" x14ac:dyDescent="0.2">
      <c r="B139" s="84"/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</row>
    <row r="140" spans="2:37" ht="24" customHeight="1" x14ac:dyDescent="0.2">
      <c r="B140" s="84"/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</row>
    <row r="141" spans="2:37" ht="24" customHeight="1" x14ac:dyDescent="0.2">
      <c r="B141" s="84"/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</row>
    <row r="142" spans="2:37" ht="24" customHeight="1" x14ac:dyDescent="0.2">
      <c r="B142" s="84"/>
      <c r="C142" s="84"/>
      <c r="D142" s="84"/>
      <c r="E142" s="84"/>
      <c r="F142" s="84"/>
      <c r="G142" s="84"/>
      <c r="H142" s="84"/>
      <c r="I142" s="84"/>
      <c r="J142" s="84"/>
      <c r="K142" s="84"/>
      <c r="L142" s="84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</row>
    <row r="143" spans="2:37" ht="24" customHeight="1" x14ac:dyDescent="0.2">
      <c r="B143" s="84"/>
      <c r="C143" s="84"/>
      <c r="D143" s="84"/>
      <c r="E143" s="84"/>
      <c r="F143" s="84"/>
      <c r="G143" s="84"/>
      <c r="H143" s="84"/>
      <c r="I143" s="84"/>
      <c r="J143" s="84"/>
      <c r="K143" s="84"/>
      <c r="L143" s="84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</row>
    <row r="144" spans="2:37" ht="24" customHeight="1" x14ac:dyDescent="0.2">
      <c r="B144" s="84"/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</row>
    <row r="145" spans="2:37" ht="24" customHeight="1" x14ac:dyDescent="0.2">
      <c r="B145" s="84"/>
      <c r="C145" s="84"/>
      <c r="D145" s="84"/>
      <c r="E145" s="84"/>
      <c r="F145" s="84"/>
      <c r="G145" s="84"/>
      <c r="H145" s="84"/>
      <c r="I145" s="84"/>
      <c r="J145" s="84"/>
      <c r="K145" s="84"/>
      <c r="L145" s="84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</row>
    <row r="146" spans="2:37" ht="24" customHeight="1" x14ac:dyDescent="0.2">
      <c r="B146" s="84"/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</row>
    <row r="147" spans="2:37" ht="24" customHeight="1" x14ac:dyDescent="0.2">
      <c r="B147" s="84"/>
      <c r="C147" s="84"/>
      <c r="D147" s="84"/>
      <c r="E147" s="84"/>
      <c r="F147" s="84"/>
      <c r="G147" s="84"/>
      <c r="H147" s="84"/>
      <c r="I147" s="84"/>
      <c r="J147" s="84"/>
      <c r="K147" s="84"/>
      <c r="L147" s="84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</row>
    <row r="148" spans="2:37" ht="24" customHeight="1" x14ac:dyDescent="0.2">
      <c r="B148" s="84"/>
      <c r="C148" s="84"/>
      <c r="D148" s="84"/>
      <c r="E148" s="84"/>
      <c r="F148" s="84"/>
      <c r="G148" s="84"/>
      <c r="H148" s="84"/>
      <c r="I148" s="84"/>
      <c r="J148" s="84"/>
      <c r="K148" s="84"/>
      <c r="L148" s="84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</row>
    <row r="149" spans="2:37" ht="24" customHeight="1" x14ac:dyDescent="0.2">
      <c r="B149" s="84"/>
      <c r="C149" s="84"/>
      <c r="D149" s="84"/>
      <c r="E149" s="84"/>
      <c r="F149" s="84"/>
      <c r="G149" s="84"/>
      <c r="H149" s="84"/>
      <c r="I149" s="84"/>
      <c r="J149" s="84"/>
      <c r="K149" s="84"/>
      <c r="L149" s="84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</row>
    <row r="150" spans="2:37" ht="24" customHeight="1" x14ac:dyDescent="0.2">
      <c r="B150" s="84"/>
      <c r="C150" s="84"/>
      <c r="D150" s="84"/>
      <c r="E150" s="84"/>
      <c r="F150" s="84"/>
      <c r="G150" s="84"/>
      <c r="H150" s="84"/>
      <c r="I150" s="84"/>
      <c r="J150" s="84"/>
      <c r="K150" s="84"/>
      <c r="L150" s="84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</row>
    <row r="151" spans="2:37" ht="24" customHeight="1" x14ac:dyDescent="0.2">
      <c r="B151" s="84"/>
      <c r="C151" s="84"/>
      <c r="D151" s="84"/>
      <c r="E151" s="84"/>
      <c r="F151" s="84"/>
      <c r="G151" s="84"/>
      <c r="H151" s="84"/>
      <c r="I151" s="84"/>
      <c r="J151" s="84"/>
      <c r="K151" s="84"/>
      <c r="L151" s="84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</row>
    <row r="152" spans="2:37" ht="24" customHeight="1" x14ac:dyDescent="0.2">
      <c r="B152" s="84"/>
      <c r="C152" s="84"/>
      <c r="D152" s="84"/>
      <c r="E152" s="84"/>
      <c r="F152" s="84"/>
      <c r="G152" s="84"/>
      <c r="H152" s="84"/>
      <c r="I152" s="84"/>
      <c r="J152" s="84"/>
      <c r="K152" s="84"/>
      <c r="L152" s="84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</row>
    <row r="153" spans="2:37" ht="24" customHeight="1" x14ac:dyDescent="0.2">
      <c r="B153" s="84"/>
      <c r="C153" s="84"/>
      <c r="D153" s="84"/>
      <c r="E153" s="84"/>
      <c r="F153" s="84"/>
      <c r="G153" s="84"/>
      <c r="H153" s="84"/>
      <c r="I153" s="84"/>
      <c r="J153" s="84"/>
      <c r="K153" s="84"/>
      <c r="L153" s="84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</row>
    <row r="154" spans="2:37" ht="24" customHeight="1" x14ac:dyDescent="0.2">
      <c r="B154" s="84"/>
      <c r="C154" s="84"/>
      <c r="D154" s="84"/>
      <c r="E154" s="84"/>
      <c r="F154" s="84"/>
      <c r="G154" s="84"/>
      <c r="H154" s="84"/>
      <c r="I154" s="84"/>
      <c r="J154" s="84"/>
      <c r="K154" s="84"/>
      <c r="L154" s="84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</row>
    <row r="155" spans="2:37" ht="24" customHeight="1" x14ac:dyDescent="0.2">
      <c r="B155" s="84"/>
      <c r="C155" s="84"/>
      <c r="D155" s="84"/>
      <c r="E155" s="84"/>
      <c r="F155" s="84"/>
      <c r="G155" s="84"/>
      <c r="H155" s="84"/>
      <c r="I155" s="84"/>
      <c r="J155" s="84"/>
      <c r="K155" s="84"/>
      <c r="L155" s="84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</row>
    <row r="156" spans="2:37" ht="24" customHeight="1" x14ac:dyDescent="0.2">
      <c r="B156" s="84"/>
      <c r="C156" s="84"/>
      <c r="D156" s="84"/>
      <c r="E156" s="84"/>
      <c r="F156" s="84"/>
      <c r="G156" s="84"/>
      <c r="H156" s="84"/>
      <c r="I156" s="84"/>
      <c r="J156" s="84"/>
      <c r="K156" s="84"/>
      <c r="L156" s="84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</row>
    <row r="157" spans="2:37" ht="24" customHeight="1" x14ac:dyDescent="0.2">
      <c r="B157" s="84"/>
      <c r="C157" s="84"/>
      <c r="D157" s="84"/>
      <c r="E157" s="84"/>
      <c r="F157" s="84"/>
      <c r="G157" s="84"/>
      <c r="H157" s="84"/>
      <c r="I157" s="84"/>
      <c r="J157" s="84"/>
      <c r="K157" s="84"/>
      <c r="L157" s="84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</row>
    <row r="158" spans="2:37" ht="24" customHeight="1" x14ac:dyDescent="0.2">
      <c r="B158" s="84"/>
      <c r="C158" s="84"/>
      <c r="D158" s="84"/>
      <c r="E158" s="84"/>
      <c r="F158" s="84"/>
      <c r="G158" s="84"/>
      <c r="H158" s="84"/>
      <c r="I158" s="84"/>
      <c r="J158" s="84"/>
      <c r="K158" s="84"/>
      <c r="L158" s="84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</row>
    <row r="159" spans="2:37" ht="24" customHeight="1" x14ac:dyDescent="0.2">
      <c r="B159" s="84"/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</row>
    <row r="160" spans="2:37" ht="24" customHeight="1" x14ac:dyDescent="0.2">
      <c r="B160" s="84"/>
      <c r="C160" s="84"/>
      <c r="D160" s="84"/>
      <c r="E160" s="84"/>
      <c r="F160" s="84"/>
      <c r="G160" s="84"/>
      <c r="H160" s="84"/>
      <c r="I160" s="84"/>
      <c r="J160" s="84"/>
      <c r="K160" s="84"/>
      <c r="L160" s="84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</row>
    <row r="161" spans="2:37" ht="24" customHeight="1" x14ac:dyDescent="0.2">
      <c r="B161" s="84"/>
      <c r="C161" s="84"/>
      <c r="D161" s="84"/>
      <c r="E161" s="84"/>
      <c r="F161" s="84"/>
      <c r="G161" s="84"/>
      <c r="H161" s="84"/>
      <c r="I161" s="84"/>
      <c r="J161" s="84"/>
      <c r="K161" s="84"/>
      <c r="L161" s="84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</row>
    <row r="162" spans="2:37" ht="24" customHeight="1" x14ac:dyDescent="0.2">
      <c r="B162" s="84"/>
      <c r="C162" s="84"/>
      <c r="D162" s="84"/>
      <c r="E162" s="84"/>
      <c r="F162" s="84"/>
      <c r="G162" s="84"/>
      <c r="H162" s="84"/>
      <c r="I162" s="84"/>
      <c r="J162" s="84"/>
      <c r="K162" s="84"/>
      <c r="L162" s="84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</row>
    <row r="163" spans="2:37" ht="24" customHeight="1" x14ac:dyDescent="0.2">
      <c r="B163" s="84"/>
      <c r="C163" s="84"/>
      <c r="D163" s="84"/>
      <c r="E163" s="84"/>
      <c r="F163" s="84"/>
      <c r="G163" s="84"/>
      <c r="H163" s="84"/>
      <c r="I163" s="84"/>
      <c r="J163" s="84"/>
      <c r="K163" s="84"/>
      <c r="L163" s="84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</row>
    <row r="164" spans="2:37" ht="24" customHeight="1" x14ac:dyDescent="0.2">
      <c r="B164" s="84"/>
      <c r="C164" s="84"/>
      <c r="D164" s="84"/>
      <c r="E164" s="84"/>
      <c r="F164" s="84"/>
      <c r="G164" s="84"/>
      <c r="H164" s="84"/>
      <c r="I164" s="84"/>
      <c r="J164" s="84"/>
      <c r="K164" s="84"/>
      <c r="L164" s="84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</row>
    <row r="165" spans="2:37" ht="24" customHeight="1" x14ac:dyDescent="0.2">
      <c r="B165" s="84"/>
      <c r="C165" s="84"/>
      <c r="D165" s="84"/>
      <c r="E165" s="84"/>
      <c r="F165" s="84"/>
      <c r="G165" s="84"/>
      <c r="H165" s="84"/>
      <c r="I165" s="84"/>
      <c r="J165" s="84"/>
      <c r="K165" s="84"/>
      <c r="L165" s="84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</row>
    <row r="166" spans="2:37" ht="24" customHeight="1" x14ac:dyDescent="0.2">
      <c r="B166" s="84"/>
      <c r="C166" s="84"/>
      <c r="D166" s="84"/>
      <c r="E166" s="84"/>
      <c r="F166" s="84"/>
      <c r="G166" s="84"/>
      <c r="H166" s="84"/>
      <c r="I166" s="84"/>
      <c r="J166" s="84"/>
      <c r="K166" s="84"/>
      <c r="L166" s="84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</row>
    <row r="167" spans="2:37" ht="24" customHeight="1" x14ac:dyDescent="0.2">
      <c r="B167" s="84"/>
      <c r="C167" s="84"/>
      <c r="D167" s="84"/>
      <c r="E167" s="84"/>
      <c r="F167" s="84"/>
      <c r="G167" s="84"/>
      <c r="H167" s="84"/>
      <c r="I167" s="84"/>
      <c r="J167" s="84"/>
      <c r="K167" s="84"/>
      <c r="L167" s="84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</row>
    <row r="168" spans="2:37" ht="24" customHeight="1" x14ac:dyDescent="0.2">
      <c r="B168" s="84"/>
      <c r="C168" s="84"/>
      <c r="D168" s="84"/>
      <c r="E168" s="84"/>
      <c r="F168" s="84"/>
      <c r="G168" s="84"/>
      <c r="H168" s="84"/>
      <c r="I168" s="84"/>
      <c r="J168" s="84"/>
      <c r="K168" s="84"/>
      <c r="L168" s="84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</row>
    <row r="169" spans="2:37" ht="24" customHeight="1" x14ac:dyDescent="0.2">
      <c r="B169" s="84"/>
      <c r="C169" s="84"/>
      <c r="D169" s="84"/>
      <c r="E169" s="84"/>
      <c r="F169" s="84"/>
      <c r="G169" s="84"/>
      <c r="H169" s="84"/>
      <c r="I169" s="84"/>
      <c r="J169" s="84"/>
      <c r="K169" s="84"/>
      <c r="L169" s="84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</row>
    <row r="170" spans="2:37" ht="24" customHeight="1" x14ac:dyDescent="0.2">
      <c r="B170" s="84"/>
      <c r="C170" s="84"/>
      <c r="D170" s="84"/>
      <c r="E170" s="84"/>
      <c r="F170" s="84"/>
      <c r="G170" s="84"/>
      <c r="H170" s="84"/>
      <c r="I170" s="84"/>
      <c r="J170" s="84"/>
      <c r="K170" s="84"/>
      <c r="L170" s="84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</row>
    <row r="171" spans="2:37" ht="24" customHeight="1" x14ac:dyDescent="0.2">
      <c r="B171" s="84"/>
      <c r="C171" s="84"/>
      <c r="D171" s="84"/>
      <c r="E171" s="84"/>
      <c r="F171" s="84"/>
      <c r="G171" s="84"/>
      <c r="H171" s="84"/>
      <c r="I171" s="84"/>
      <c r="J171" s="84"/>
      <c r="K171" s="84"/>
      <c r="L171" s="84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</row>
    <row r="172" spans="2:37" ht="24" customHeight="1" x14ac:dyDescent="0.2">
      <c r="B172" s="84"/>
      <c r="C172" s="84"/>
      <c r="D172" s="84"/>
      <c r="E172" s="84"/>
      <c r="F172" s="84"/>
      <c r="G172" s="84"/>
      <c r="H172" s="84"/>
      <c r="I172" s="84"/>
      <c r="J172" s="84"/>
      <c r="K172" s="84"/>
      <c r="L172" s="84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</row>
    <row r="173" spans="2:37" ht="24" customHeight="1" x14ac:dyDescent="0.2">
      <c r="B173" s="84"/>
      <c r="C173" s="84"/>
      <c r="D173" s="84"/>
      <c r="E173" s="84"/>
      <c r="F173" s="84"/>
      <c r="G173" s="84"/>
      <c r="H173" s="84"/>
      <c r="I173" s="84"/>
      <c r="J173" s="84"/>
      <c r="K173" s="84"/>
      <c r="L173" s="84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</row>
    <row r="174" spans="2:37" ht="24" customHeight="1" x14ac:dyDescent="0.2">
      <c r="B174" s="84"/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</row>
    <row r="175" spans="2:37" ht="24" customHeight="1" x14ac:dyDescent="0.2">
      <c r="B175" s="84"/>
      <c r="C175" s="84"/>
      <c r="D175" s="84"/>
      <c r="E175" s="84"/>
      <c r="F175" s="84"/>
      <c r="G175" s="84"/>
      <c r="H175" s="84"/>
      <c r="I175" s="84"/>
      <c r="J175" s="84"/>
      <c r="K175" s="84"/>
      <c r="L175" s="84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</row>
    <row r="176" spans="2:37" ht="24" customHeight="1" x14ac:dyDescent="0.2">
      <c r="B176" s="84"/>
      <c r="C176" s="84"/>
      <c r="D176" s="84"/>
      <c r="E176" s="84"/>
      <c r="F176" s="84"/>
      <c r="G176" s="84"/>
      <c r="H176" s="84"/>
      <c r="I176" s="84"/>
      <c r="J176" s="84"/>
      <c r="K176" s="84"/>
      <c r="L176" s="84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</row>
    <row r="177" spans="2:37" ht="24" customHeight="1" x14ac:dyDescent="0.2">
      <c r="B177" s="84"/>
      <c r="C177" s="84"/>
      <c r="D177" s="84"/>
      <c r="E177" s="84"/>
      <c r="F177" s="84"/>
      <c r="G177" s="84"/>
      <c r="H177" s="84"/>
      <c r="I177" s="84"/>
      <c r="J177" s="84"/>
      <c r="K177" s="84"/>
      <c r="L177" s="84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</row>
    <row r="178" spans="2:37" ht="24" customHeight="1" x14ac:dyDescent="0.2">
      <c r="B178" s="84"/>
      <c r="C178" s="84"/>
      <c r="D178" s="84"/>
      <c r="E178" s="84"/>
      <c r="F178" s="84"/>
      <c r="G178" s="84"/>
      <c r="H178" s="84"/>
      <c r="I178" s="84"/>
      <c r="J178" s="84"/>
      <c r="K178" s="84"/>
      <c r="L178" s="84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</row>
    <row r="179" spans="2:37" ht="24" customHeight="1" x14ac:dyDescent="0.2">
      <c r="B179" s="84"/>
      <c r="C179" s="84"/>
      <c r="D179" s="84"/>
      <c r="E179" s="84"/>
      <c r="F179" s="84"/>
      <c r="G179" s="84"/>
      <c r="H179" s="84"/>
      <c r="I179" s="84"/>
      <c r="J179" s="84"/>
      <c r="K179" s="84"/>
      <c r="L179" s="84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</row>
    <row r="180" spans="2:37" ht="24" customHeight="1" x14ac:dyDescent="0.2">
      <c r="B180" s="84"/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</row>
    <row r="181" spans="2:37" ht="24" customHeight="1" x14ac:dyDescent="0.2">
      <c r="B181" s="84"/>
      <c r="C181" s="84"/>
      <c r="D181" s="84"/>
      <c r="E181" s="84"/>
      <c r="F181" s="84"/>
      <c r="G181" s="84"/>
      <c r="H181" s="84"/>
      <c r="I181" s="84"/>
      <c r="J181" s="84"/>
      <c r="K181" s="84"/>
      <c r="L181" s="84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</row>
    <row r="182" spans="2:37" ht="24" customHeight="1" x14ac:dyDescent="0.2">
      <c r="B182" s="84"/>
      <c r="C182" s="84"/>
      <c r="D182" s="84"/>
      <c r="E182" s="84"/>
      <c r="F182" s="84"/>
      <c r="G182" s="84"/>
      <c r="H182" s="84"/>
      <c r="I182" s="84"/>
      <c r="J182" s="84"/>
      <c r="K182" s="84"/>
      <c r="L182" s="84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</row>
    <row r="183" spans="2:37" ht="24" customHeight="1" x14ac:dyDescent="0.2">
      <c r="B183" s="84"/>
      <c r="C183" s="84"/>
      <c r="D183" s="84"/>
      <c r="E183" s="84"/>
      <c r="F183" s="84"/>
      <c r="G183" s="84"/>
      <c r="H183" s="84"/>
      <c r="I183" s="84"/>
      <c r="J183" s="84"/>
      <c r="K183" s="84"/>
      <c r="L183" s="84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</row>
    <row r="184" spans="2:37" ht="24" customHeight="1" x14ac:dyDescent="0.2">
      <c r="B184" s="84"/>
      <c r="C184" s="84"/>
      <c r="D184" s="84"/>
      <c r="E184" s="84"/>
      <c r="F184" s="84"/>
      <c r="G184" s="84"/>
      <c r="H184" s="84"/>
      <c r="I184" s="84"/>
      <c r="J184" s="84"/>
      <c r="K184" s="84"/>
      <c r="L184" s="84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</row>
    <row r="185" spans="2:37" ht="24" customHeight="1" x14ac:dyDescent="0.2">
      <c r="B185" s="84"/>
      <c r="C185" s="84"/>
      <c r="D185" s="84"/>
      <c r="E185" s="84"/>
      <c r="F185" s="84"/>
      <c r="G185" s="84"/>
      <c r="H185" s="84"/>
      <c r="I185" s="84"/>
      <c r="J185" s="84"/>
      <c r="K185" s="84"/>
      <c r="L185" s="84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</row>
    <row r="186" spans="2:37" ht="24" customHeight="1" x14ac:dyDescent="0.2">
      <c r="B186" s="84"/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</row>
    <row r="187" spans="2:37" ht="24" customHeight="1" x14ac:dyDescent="0.2">
      <c r="B187" s="84"/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</row>
    <row r="188" spans="2:37" ht="24" customHeight="1" x14ac:dyDescent="0.2">
      <c r="B188" s="84"/>
      <c r="C188" s="84"/>
      <c r="D188" s="84"/>
      <c r="E188" s="84"/>
      <c r="F188" s="84"/>
      <c r="G188" s="84"/>
      <c r="H188" s="84"/>
      <c r="I188" s="84"/>
      <c r="J188" s="84"/>
      <c r="K188" s="84"/>
      <c r="L188" s="84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</row>
    <row r="189" spans="2:37" ht="24" customHeight="1" x14ac:dyDescent="0.2">
      <c r="B189" s="84"/>
      <c r="C189" s="84"/>
      <c r="D189" s="84"/>
      <c r="E189" s="84"/>
      <c r="F189" s="84"/>
      <c r="G189" s="84"/>
      <c r="H189" s="84"/>
      <c r="I189" s="84"/>
      <c r="J189" s="84"/>
      <c r="K189" s="84"/>
      <c r="L189" s="84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</row>
    <row r="190" spans="2:37" ht="24" customHeight="1" x14ac:dyDescent="0.2">
      <c r="B190" s="84"/>
      <c r="C190" s="84"/>
      <c r="D190" s="84"/>
      <c r="E190" s="84"/>
      <c r="F190" s="84"/>
      <c r="G190" s="84"/>
      <c r="H190" s="84"/>
      <c r="I190" s="84"/>
      <c r="J190" s="84"/>
      <c r="K190" s="84"/>
      <c r="L190" s="84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</row>
    <row r="191" spans="2:37" ht="24" customHeight="1" x14ac:dyDescent="0.2">
      <c r="B191" s="84"/>
      <c r="C191" s="84"/>
      <c r="D191" s="84"/>
      <c r="E191" s="84"/>
      <c r="F191" s="84"/>
      <c r="G191" s="84"/>
      <c r="H191" s="84"/>
      <c r="I191" s="84"/>
      <c r="J191" s="84"/>
      <c r="K191" s="84"/>
      <c r="L191" s="84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</row>
    <row r="192" spans="2:37" ht="24" customHeight="1" x14ac:dyDescent="0.2">
      <c r="B192" s="84"/>
      <c r="C192" s="84"/>
      <c r="D192" s="84"/>
      <c r="E192" s="84"/>
      <c r="F192" s="84"/>
      <c r="G192" s="84"/>
      <c r="H192" s="84"/>
      <c r="I192" s="84"/>
      <c r="J192" s="84"/>
      <c r="K192" s="84"/>
      <c r="L192" s="84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</row>
    <row r="193" spans="2:37" ht="24" customHeight="1" x14ac:dyDescent="0.2">
      <c r="B193" s="84"/>
      <c r="C193" s="84"/>
      <c r="D193" s="84"/>
      <c r="E193" s="84"/>
      <c r="F193" s="84"/>
      <c r="G193" s="84"/>
      <c r="H193" s="84"/>
      <c r="I193" s="84"/>
      <c r="J193" s="84"/>
      <c r="K193" s="84"/>
      <c r="L193" s="84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</row>
    <row r="194" spans="2:37" ht="24" customHeight="1" x14ac:dyDescent="0.2">
      <c r="B194" s="84"/>
      <c r="C194" s="84"/>
      <c r="D194" s="84"/>
      <c r="E194" s="84"/>
      <c r="F194" s="84"/>
      <c r="G194" s="84"/>
      <c r="H194" s="84"/>
      <c r="I194" s="84"/>
      <c r="J194" s="84"/>
      <c r="K194" s="84"/>
      <c r="L194" s="84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</row>
    <row r="195" spans="2:37" ht="24" customHeight="1" x14ac:dyDescent="0.2">
      <c r="B195" s="84"/>
      <c r="C195" s="84"/>
      <c r="D195" s="84"/>
      <c r="E195" s="84"/>
      <c r="F195" s="84"/>
      <c r="G195" s="84"/>
      <c r="H195" s="84"/>
      <c r="I195" s="84"/>
      <c r="J195" s="84"/>
      <c r="K195" s="84"/>
      <c r="L195" s="84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</row>
    <row r="196" spans="2:37" ht="24" customHeight="1" x14ac:dyDescent="0.2">
      <c r="B196" s="84"/>
      <c r="C196" s="84"/>
      <c r="D196" s="84"/>
      <c r="E196" s="84"/>
      <c r="F196" s="84"/>
      <c r="G196" s="84"/>
      <c r="H196" s="84"/>
      <c r="I196" s="84"/>
      <c r="J196" s="84"/>
      <c r="K196" s="84"/>
      <c r="L196" s="84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</row>
    <row r="197" spans="2:37" ht="24" customHeight="1" x14ac:dyDescent="0.2">
      <c r="B197" s="84"/>
      <c r="C197" s="84"/>
      <c r="D197" s="84"/>
      <c r="E197" s="84"/>
      <c r="F197" s="84"/>
      <c r="G197" s="84"/>
      <c r="H197" s="84"/>
      <c r="I197" s="84"/>
      <c r="J197" s="84"/>
      <c r="K197" s="84"/>
      <c r="L197" s="84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</row>
    <row r="198" spans="2:37" ht="24" customHeight="1" x14ac:dyDescent="0.2">
      <c r="B198" s="84"/>
      <c r="C198" s="84"/>
      <c r="D198" s="84"/>
      <c r="E198" s="84"/>
      <c r="F198" s="84"/>
      <c r="G198" s="84"/>
      <c r="H198" s="84"/>
      <c r="I198" s="84"/>
      <c r="J198" s="84"/>
      <c r="K198" s="84"/>
      <c r="L198" s="84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</row>
    <row r="199" spans="2:37" ht="24" customHeight="1" x14ac:dyDescent="0.2">
      <c r="B199" s="84"/>
      <c r="C199" s="84"/>
      <c r="D199" s="84"/>
      <c r="E199" s="84"/>
      <c r="F199" s="84"/>
      <c r="G199" s="84"/>
      <c r="H199" s="84"/>
      <c r="I199" s="84"/>
      <c r="J199" s="84"/>
      <c r="K199" s="84"/>
      <c r="L199" s="84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</row>
    <row r="200" spans="2:37" ht="24" customHeight="1" x14ac:dyDescent="0.2">
      <c r="B200" s="84"/>
      <c r="C200" s="84"/>
      <c r="D200" s="84"/>
      <c r="E200" s="84"/>
      <c r="F200" s="84"/>
      <c r="G200" s="84"/>
      <c r="H200" s="84"/>
      <c r="I200" s="84"/>
      <c r="J200" s="84"/>
      <c r="K200" s="84"/>
      <c r="L200" s="84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</row>
    <row r="201" spans="2:37" ht="24" customHeight="1" x14ac:dyDescent="0.2">
      <c r="B201" s="84"/>
      <c r="C201" s="84"/>
      <c r="D201" s="84"/>
      <c r="E201" s="84"/>
      <c r="F201" s="84"/>
      <c r="G201" s="84"/>
      <c r="H201" s="84"/>
      <c r="I201" s="84"/>
      <c r="J201" s="84"/>
      <c r="K201" s="84"/>
      <c r="L201" s="84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</row>
    <row r="202" spans="2:37" ht="24" customHeight="1" x14ac:dyDescent="0.2">
      <c r="B202" s="84"/>
      <c r="C202" s="84"/>
      <c r="D202" s="84"/>
      <c r="E202" s="84"/>
      <c r="F202" s="84"/>
      <c r="G202" s="84"/>
      <c r="H202" s="84"/>
      <c r="I202" s="84"/>
      <c r="J202" s="84"/>
      <c r="K202" s="84"/>
      <c r="L202" s="84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</row>
    <row r="203" spans="2:37" ht="24" customHeight="1" x14ac:dyDescent="0.2">
      <c r="B203" s="84"/>
      <c r="C203" s="84"/>
      <c r="D203" s="84"/>
      <c r="E203" s="84"/>
      <c r="F203" s="84"/>
      <c r="G203" s="84"/>
      <c r="H203" s="84"/>
      <c r="I203" s="84"/>
      <c r="J203" s="84"/>
      <c r="K203" s="84"/>
      <c r="L203" s="84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</row>
    <row r="204" spans="2:37" ht="24" customHeight="1" x14ac:dyDescent="0.2">
      <c r="B204" s="84"/>
      <c r="C204" s="84"/>
      <c r="D204" s="84"/>
      <c r="E204" s="84"/>
      <c r="F204" s="84"/>
      <c r="G204" s="84"/>
      <c r="H204" s="84"/>
      <c r="I204" s="84"/>
      <c r="J204" s="84"/>
      <c r="K204" s="84"/>
      <c r="L204" s="84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</row>
    <row r="205" spans="2:37" ht="24" customHeight="1" x14ac:dyDescent="0.2">
      <c r="B205" s="84"/>
      <c r="C205" s="84"/>
      <c r="D205" s="84"/>
      <c r="E205" s="84"/>
      <c r="F205" s="84"/>
      <c r="G205" s="84"/>
      <c r="H205" s="84"/>
      <c r="I205" s="84"/>
      <c r="J205" s="84"/>
      <c r="K205" s="84"/>
      <c r="L205" s="84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</row>
    <row r="206" spans="2:37" ht="24" customHeight="1" x14ac:dyDescent="0.2">
      <c r="B206" s="84"/>
      <c r="C206" s="84"/>
      <c r="D206" s="84"/>
      <c r="E206" s="84"/>
      <c r="F206" s="84"/>
      <c r="G206" s="84"/>
      <c r="H206" s="84"/>
      <c r="I206" s="84"/>
      <c r="J206" s="84"/>
      <c r="K206" s="84"/>
      <c r="L206" s="84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</row>
    <row r="207" spans="2:37" ht="24" customHeight="1" x14ac:dyDescent="0.2">
      <c r="B207" s="84"/>
      <c r="C207" s="84"/>
      <c r="D207" s="84"/>
      <c r="E207" s="84"/>
      <c r="F207" s="84"/>
      <c r="G207" s="84"/>
      <c r="H207" s="84"/>
      <c r="I207" s="84"/>
      <c r="J207" s="84"/>
      <c r="K207" s="84"/>
      <c r="L207" s="84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</row>
    <row r="208" spans="2:37" ht="24" customHeight="1" x14ac:dyDescent="0.2">
      <c r="B208" s="84"/>
      <c r="C208" s="84"/>
      <c r="D208" s="84"/>
      <c r="E208" s="84"/>
      <c r="F208" s="84"/>
      <c r="G208" s="84"/>
      <c r="H208" s="84"/>
      <c r="I208" s="84"/>
      <c r="J208" s="84"/>
      <c r="K208" s="84"/>
      <c r="L208" s="84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</row>
    <row r="209" spans="2:37" ht="24" customHeight="1" x14ac:dyDescent="0.2">
      <c r="B209" s="84"/>
      <c r="C209" s="84"/>
      <c r="D209" s="84"/>
      <c r="E209" s="84"/>
      <c r="F209" s="84"/>
      <c r="G209" s="84"/>
      <c r="H209" s="84"/>
      <c r="I209" s="84"/>
      <c r="J209" s="84"/>
      <c r="K209" s="84"/>
      <c r="L209" s="84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</row>
    <row r="210" spans="2:37" ht="24" customHeight="1" x14ac:dyDescent="0.2">
      <c r="B210" s="84"/>
      <c r="C210" s="84"/>
      <c r="D210" s="84"/>
      <c r="E210" s="84"/>
      <c r="F210" s="84"/>
      <c r="G210" s="84"/>
      <c r="H210" s="84"/>
      <c r="I210" s="84"/>
      <c r="J210" s="84"/>
      <c r="K210" s="84"/>
      <c r="L210" s="84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</row>
    <row r="211" spans="2:37" ht="24" customHeight="1" x14ac:dyDescent="0.2">
      <c r="B211" s="84"/>
      <c r="C211" s="84"/>
      <c r="D211" s="84"/>
      <c r="E211" s="84"/>
      <c r="F211" s="84"/>
      <c r="G211" s="84"/>
      <c r="H211" s="84"/>
      <c r="I211" s="84"/>
      <c r="J211" s="84"/>
      <c r="K211" s="84"/>
      <c r="L211" s="84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</row>
    <row r="212" spans="2:37" ht="24" customHeight="1" x14ac:dyDescent="0.2">
      <c r="B212" s="84"/>
      <c r="C212" s="84"/>
      <c r="D212" s="84"/>
      <c r="E212" s="84"/>
      <c r="F212" s="84"/>
      <c r="G212" s="84"/>
      <c r="H212" s="84"/>
      <c r="I212" s="84"/>
      <c r="J212" s="84"/>
      <c r="K212" s="84"/>
      <c r="L212" s="84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</row>
    <row r="213" spans="2:37" ht="24" customHeight="1" x14ac:dyDescent="0.2">
      <c r="B213" s="84"/>
      <c r="C213" s="84"/>
      <c r="D213" s="84"/>
      <c r="E213" s="84"/>
      <c r="F213" s="84"/>
      <c r="G213" s="84"/>
      <c r="H213" s="84"/>
      <c r="I213" s="84"/>
      <c r="J213" s="84"/>
      <c r="K213" s="84"/>
      <c r="L213" s="84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</row>
    <row r="214" spans="2:37" ht="24" customHeight="1" x14ac:dyDescent="0.2">
      <c r="B214" s="84"/>
      <c r="C214" s="84"/>
      <c r="D214" s="84"/>
      <c r="E214" s="84"/>
      <c r="F214" s="84"/>
      <c r="G214" s="84"/>
      <c r="H214" s="84"/>
      <c r="I214" s="84"/>
      <c r="J214" s="84"/>
      <c r="K214" s="84"/>
      <c r="L214" s="84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</row>
    <row r="215" spans="2:37" ht="24" customHeight="1" x14ac:dyDescent="0.2">
      <c r="B215" s="84"/>
      <c r="C215" s="84"/>
      <c r="D215" s="84"/>
      <c r="E215" s="84"/>
      <c r="F215" s="84"/>
      <c r="G215" s="84"/>
      <c r="H215" s="84"/>
      <c r="I215" s="84"/>
      <c r="J215" s="84"/>
      <c r="K215" s="84"/>
      <c r="L215" s="84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</row>
    <row r="216" spans="2:37" ht="24" customHeight="1" x14ac:dyDescent="0.2">
      <c r="B216" s="84"/>
      <c r="C216" s="84"/>
      <c r="D216" s="84"/>
      <c r="E216" s="84"/>
      <c r="F216" s="84"/>
      <c r="G216" s="84"/>
      <c r="H216" s="84"/>
      <c r="I216" s="84"/>
      <c r="J216" s="84"/>
      <c r="K216" s="84"/>
      <c r="L216" s="84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</row>
    <row r="217" spans="2:37" ht="24" customHeight="1" x14ac:dyDescent="0.2">
      <c r="B217" s="84"/>
      <c r="C217" s="84"/>
      <c r="D217" s="84"/>
      <c r="E217" s="84"/>
      <c r="F217" s="84"/>
      <c r="G217" s="84"/>
      <c r="H217" s="84"/>
      <c r="I217" s="84"/>
      <c r="J217" s="84"/>
      <c r="K217" s="84"/>
      <c r="L217" s="84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</row>
    <row r="218" spans="2:37" ht="24" customHeight="1" x14ac:dyDescent="0.2">
      <c r="B218" s="84"/>
      <c r="C218" s="84"/>
      <c r="D218" s="84"/>
      <c r="E218" s="84"/>
      <c r="F218" s="84"/>
      <c r="G218" s="84"/>
      <c r="H218" s="84"/>
      <c r="I218" s="84"/>
      <c r="J218" s="84"/>
      <c r="K218" s="84"/>
      <c r="L218" s="84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</row>
    <row r="219" spans="2:37" ht="24" customHeight="1" x14ac:dyDescent="0.2">
      <c r="B219" s="84"/>
      <c r="C219" s="84"/>
      <c r="D219" s="84"/>
      <c r="E219" s="84"/>
      <c r="F219" s="84"/>
      <c r="G219" s="84"/>
      <c r="H219" s="84"/>
      <c r="I219" s="84"/>
      <c r="J219" s="84"/>
      <c r="K219" s="84"/>
      <c r="L219" s="84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</row>
    <row r="220" spans="2:37" ht="24" customHeight="1" x14ac:dyDescent="0.2">
      <c r="B220" s="84"/>
      <c r="C220" s="84"/>
      <c r="D220" s="84"/>
      <c r="E220" s="84"/>
      <c r="F220" s="84"/>
      <c r="G220" s="84"/>
      <c r="H220" s="84"/>
      <c r="I220" s="84"/>
      <c r="J220" s="84"/>
      <c r="K220" s="84"/>
      <c r="L220" s="84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</row>
    <row r="221" spans="2:37" ht="24" customHeight="1" x14ac:dyDescent="0.2">
      <c r="B221" s="84"/>
      <c r="C221" s="84"/>
      <c r="D221" s="84"/>
      <c r="E221" s="84"/>
      <c r="F221" s="84"/>
      <c r="G221" s="84"/>
      <c r="H221" s="84"/>
      <c r="I221" s="84"/>
      <c r="J221" s="84"/>
      <c r="K221" s="84"/>
      <c r="L221" s="84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</row>
    <row r="222" spans="2:37" ht="24" customHeight="1" x14ac:dyDescent="0.2">
      <c r="B222" s="84"/>
      <c r="C222" s="84"/>
      <c r="D222" s="84"/>
      <c r="E222" s="84"/>
      <c r="F222" s="84"/>
      <c r="G222" s="84"/>
      <c r="H222" s="84"/>
      <c r="I222" s="84"/>
      <c r="J222" s="84"/>
      <c r="K222" s="84"/>
      <c r="L222" s="84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</row>
    <row r="223" spans="2:37" ht="24" customHeight="1" x14ac:dyDescent="0.2">
      <c r="B223" s="84"/>
      <c r="C223" s="84"/>
      <c r="D223" s="84"/>
      <c r="E223" s="84"/>
      <c r="F223" s="84"/>
      <c r="G223" s="84"/>
      <c r="H223" s="84"/>
      <c r="I223" s="84"/>
      <c r="J223" s="84"/>
      <c r="K223" s="84"/>
      <c r="L223" s="84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</row>
    <row r="224" spans="2:37" ht="24" customHeight="1" x14ac:dyDescent="0.2">
      <c r="B224" s="84"/>
      <c r="C224" s="84"/>
      <c r="D224" s="84"/>
      <c r="E224" s="84"/>
      <c r="F224" s="84"/>
      <c r="G224" s="84"/>
      <c r="H224" s="84"/>
      <c r="I224" s="84"/>
      <c r="J224" s="84"/>
      <c r="K224" s="84"/>
      <c r="L224" s="84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</row>
    <row r="225" spans="2:37" ht="24" customHeight="1" x14ac:dyDescent="0.2">
      <c r="B225" s="84"/>
      <c r="C225" s="84"/>
      <c r="D225" s="84"/>
      <c r="E225" s="84"/>
      <c r="F225" s="84"/>
      <c r="G225" s="84"/>
      <c r="H225" s="84"/>
      <c r="I225" s="84"/>
      <c r="J225" s="84"/>
      <c r="K225" s="84"/>
      <c r="L225" s="84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</row>
    <row r="226" spans="2:37" ht="24" customHeight="1" x14ac:dyDescent="0.2">
      <c r="B226" s="84"/>
      <c r="C226" s="84"/>
      <c r="D226" s="84"/>
      <c r="E226" s="84"/>
      <c r="F226" s="84"/>
      <c r="G226" s="84"/>
      <c r="H226" s="84"/>
      <c r="I226" s="84"/>
      <c r="J226" s="84"/>
      <c r="K226" s="84"/>
      <c r="L226" s="84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</row>
    <row r="227" spans="2:37" ht="24" customHeight="1" x14ac:dyDescent="0.2">
      <c r="B227" s="84"/>
      <c r="C227" s="84"/>
      <c r="D227" s="84"/>
      <c r="E227" s="84"/>
      <c r="F227" s="84"/>
      <c r="G227" s="84"/>
      <c r="H227" s="84"/>
      <c r="I227" s="84"/>
      <c r="J227" s="84"/>
      <c r="K227" s="84"/>
      <c r="L227" s="84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</row>
    <row r="228" spans="2:37" ht="24" customHeight="1" x14ac:dyDescent="0.2">
      <c r="B228" s="84"/>
      <c r="C228" s="84"/>
      <c r="D228" s="84"/>
      <c r="E228" s="84"/>
      <c r="F228" s="84"/>
      <c r="G228" s="84"/>
      <c r="H228" s="84"/>
      <c r="I228" s="84"/>
      <c r="J228" s="84"/>
      <c r="K228" s="84"/>
      <c r="L228" s="84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</row>
    <row r="229" spans="2:37" ht="24" customHeight="1" x14ac:dyDescent="0.2">
      <c r="B229" s="84"/>
      <c r="C229" s="84"/>
      <c r="D229" s="84"/>
      <c r="E229" s="84"/>
      <c r="F229" s="84"/>
      <c r="G229" s="84"/>
      <c r="H229" s="84"/>
      <c r="I229" s="84"/>
      <c r="J229" s="84"/>
      <c r="K229" s="84"/>
      <c r="L229" s="84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</row>
    <row r="230" spans="2:37" ht="24" customHeight="1" x14ac:dyDescent="0.2">
      <c r="B230" s="84"/>
      <c r="C230" s="84"/>
      <c r="D230" s="84"/>
      <c r="E230" s="84"/>
      <c r="F230" s="84"/>
      <c r="G230" s="84"/>
      <c r="H230" s="84"/>
      <c r="I230" s="84"/>
      <c r="J230" s="84"/>
      <c r="K230" s="84"/>
      <c r="L230" s="84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</row>
    <row r="231" spans="2:37" ht="24" customHeight="1" x14ac:dyDescent="0.2">
      <c r="B231" s="84"/>
      <c r="C231" s="84"/>
      <c r="D231" s="84"/>
      <c r="E231" s="84"/>
      <c r="F231" s="84"/>
      <c r="G231" s="84"/>
      <c r="H231" s="84"/>
      <c r="I231" s="84"/>
      <c r="J231" s="84"/>
      <c r="K231" s="84"/>
      <c r="L231" s="84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</row>
    <row r="232" spans="2:37" ht="24" customHeight="1" x14ac:dyDescent="0.2">
      <c r="B232" s="84"/>
      <c r="C232" s="84"/>
      <c r="D232" s="84"/>
      <c r="E232" s="84"/>
      <c r="F232" s="84"/>
      <c r="G232" s="84"/>
      <c r="H232" s="84"/>
      <c r="I232" s="84"/>
      <c r="J232" s="84"/>
      <c r="K232" s="84"/>
      <c r="L232" s="84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</row>
    <row r="233" spans="2:37" ht="24" customHeight="1" x14ac:dyDescent="0.2">
      <c r="B233" s="84"/>
      <c r="C233" s="84"/>
      <c r="D233" s="84"/>
      <c r="E233" s="84"/>
      <c r="F233" s="84"/>
      <c r="G233" s="84"/>
      <c r="H233" s="84"/>
      <c r="I233" s="84"/>
      <c r="J233" s="84"/>
      <c r="K233" s="84"/>
      <c r="L233" s="84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</row>
    <row r="234" spans="2:37" ht="24" customHeight="1" x14ac:dyDescent="0.2">
      <c r="B234" s="84"/>
      <c r="C234" s="84"/>
      <c r="D234" s="84"/>
      <c r="E234" s="84"/>
      <c r="F234" s="84"/>
      <c r="G234" s="84"/>
      <c r="H234" s="84"/>
      <c r="I234" s="84"/>
      <c r="J234" s="84"/>
      <c r="K234" s="84"/>
      <c r="L234" s="84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</row>
    <row r="235" spans="2:37" ht="24" customHeight="1" x14ac:dyDescent="0.2">
      <c r="B235" s="84"/>
      <c r="C235" s="84"/>
      <c r="D235" s="84"/>
      <c r="E235" s="84"/>
      <c r="F235" s="84"/>
      <c r="G235" s="84"/>
      <c r="H235" s="84"/>
      <c r="I235" s="84"/>
      <c r="J235" s="84"/>
      <c r="K235" s="84"/>
      <c r="L235" s="84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</row>
    <row r="236" spans="2:37" ht="24" customHeight="1" x14ac:dyDescent="0.2">
      <c r="B236" s="84"/>
      <c r="C236" s="84"/>
      <c r="D236" s="84"/>
      <c r="E236" s="84"/>
      <c r="F236" s="84"/>
      <c r="G236" s="84"/>
      <c r="H236" s="84"/>
      <c r="I236" s="84"/>
      <c r="J236" s="84"/>
      <c r="K236" s="84"/>
      <c r="L236" s="84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</row>
    <row r="237" spans="2:37" ht="24" customHeight="1" x14ac:dyDescent="0.2">
      <c r="B237" s="84"/>
      <c r="C237" s="84"/>
      <c r="D237" s="84"/>
      <c r="E237" s="84"/>
      <c r="F237" s="84"/>
      <c r="G237" s="84"/>
      <c r="H237" s="84"/>
      <c r="I237" s="84"/>
      <c r="J237" s="84"/>
      <c r="K237" s="84"/>
      <c r="L237" s="84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</row>
    <row r="238" spans="2:37" ht="24" customHeight="1" x14ac:dyDescent="0.2">
      <c r="B238" s="84"/>
      <c r="C238" s="84"/>
      <c r="D238" s="84"/>
      <c r="E238" s="84"/>
      <c r="F238" s="84"/>
      <c r="G238" s="84"/>
      <c r="H238" s="84"/>
      <c r="I238" s="84"/>
      <c r="J238" s="84"/>
      <c r="K238" s="84"/>
      <c r="L238" s="84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</row>
    <row r="239" spans="2:37" ht="24" customHeight="1" x14ac:dyDescent="0.2">
      <c r="B239" s="84"/>
      <c r="C239" s="84"/>
      <c r="D239" s="84"/>
      <c r="E239" s="84"/>
      <c r="F239" s="84"/>
      <c r="G239" s="84"/>
      <c r="H239" s="84"/>
      <c r="I239" s="84"/>
      <c r="J239" s="84"/>
      <c r="K239" s="84"/>
      <c r="L239" s="84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</row>
    <row r="240" spans="2:37" ht="24" customHeight="1" x14ac:dyDescent="0.2">
      <c r="B240" s="84"/>
      <c r="C240" s="84"/>
      <c r="D240" s="84"/>
      <c r="E240" s="84"/>
      <c r="F240" s="84"/>
      <c r="G240" s="84"/>
      <c r="H240" s="84"/>
      <c r="I240" s="84"/>
      <c r="J240" s="84"/>
      <c r="K240" s="84"/>
      <c r="L240" s="84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</row>
    <row r="241" spans="2:37" ht="24" customHeight="1" x14ac:dyDescent="0.2">
      <c r="B241" s="84"/>
      <c r="C241" s="84"/>
      <c r="D241" s="84"/>
      <c r="E241" s="84"/>
      <c r="F241" s="84"/>
      <c r="G241" s="84"/>
      <c r="H241" s="84"/>
      <c r="I241" s="84"/>
      <c r="J241" s="84"/>
      <c r="K241" s="84"/>
      <c r="L241" s="84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</row>
    <row r="242" spans="2:37" ht="15.75" customHeight="1" x14ac:dyDescent="0.4"/>
    <row r="243" spans="2:37" ht="15.75" customHeight="1" x14ac:dyDescent="0.4"/>
    <row r="244" spans="2:37" ht="15.75" customHeight="1" x14ac:dyDescent="0.4"/>
    <row r="245" spans="2:37" ht="15.75" customHeight="1" x14ac:dyDescent="0.4"/>
    <row r="246" spans="2:37" ht="15.75" customHeight="1" x14ac:dyDescent="0.4"/>
    <row r="247" spans="2:37" ht="15.75" customHeight="1" x14ac:dyDescent="0.4"/>
    <row r="248" spans="2:37" ht="15.75" customHeight="1" x14ac:dyDescent="0.4"/>
    <row r="249" spans="2:37" ht="15.75" customHeight="1" x14ac:dyDescent="0.4"/>
    <row r="250" spans="2:37" ht="15.75" customHeight="1" x14ac:dyDescent="0.4"/>
    <row r="251" spans="2:37" ht="15.75" customHeight="1" x14ac:dyDescent="0.4"/>
    <row r="252" spans="2:37" ht="15.75" customHeight="1" x14ac:dyDescent="0.4"/>
    <row r="253" spans="2:37" ht="15.75" customHeight="1" x14ac:dyDescent="0.4"/>
    <row r="254" spans="2:37" ht="15.75" customHeight="1" x14ac:dyDescent="0.4"/>
    <row r="255" spans="2:37" ht="15.75" customHeight="1" x14ac:dyDescent="0.4"/>
    <row r="256" spans="2:37" ht="15.75" customHeight="1" x14ac:dyDescent="0.4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6">
    <mergeCell ref="I21:J21"/>
    <mergeCell ref="I22:J22"/>
    <mergeCell ref="B16:C16"/>
    <mergeCell ref="B17:C17"/>
    <mergeCell ref="B18:C18"/>
    <mergeCell ref="A19:C19"/>
    <mergeCell ref="A21:B22"/>
    <mergeCell ref="C21:E22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E1"/>
    <mergeCell ref="G1:H1"/>
    <mergeCell ref="A2:B2"/>
    <mergeCell ref="G2:H2"/>
    <mergeCell ref="E3:H3"/>
  </mergeCells>
  <pageMargins left="0.7" right="0.7" top="0.75" bottom="0.75" header="0" footer="0"/>
  <pageSetup paperSize="9" scale="58" orientation="landscape" r:id="rId1"/>
  <rowBreaks count="1" manualBreakCount="1">
    <brk id="22" man="1"/>
  </rowBreaks>
  <colBreaks count="1" manualBreakCount="1">
    <brk id="11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12 เดือน.xlsx]000'!#REF!</xm:f>
          </x14:formula1>
          <xm:sqref>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0"/>
  <sheetViews>
    <sheetView view="pageBreakPreview" zoomScale="60" zoomScaleNormal="70" workbookViewId="0">
      <pane ySplit="4" topLeftCell="A76" activePane="bottomLeft" state="frozen"/>
      <selection activeCell="I23" sqref="I23"/>
      <selection pane="bottomLeft" activeCell="I23" sqref="I23"/>
    </sheetView>
  </sheetViews>
  <sheetFormatPr defaultColWidth="12.625" defaultRowHeight="15" customHeight="1" x14ac:dyDescent="0.4"/>
  <cols>
    <col min="1" max="1" width="9.625" style="8" customWidth="1"/>
    <col min="2" max="2" width="28.375" style="8" customWidth="1"/>
    <col min="3" max="3" width="35.125" style="8" customWidth="1"/>
    <col min="4" max="4" width="43.125" style="8" customWidth="1"/>
    <col min="5" max="5" width="20.875" style="8" customWidth="1"/>
    <col min="6" max="7" width="25.625" style="8" customWidth="1"/>
    <col min="8" max="8" width="20.875" style="8" customWidth="1"/>
    <col min="9" max="9" width="19" style="8" customWidth="1"/>
    <col min="10" max="10" width="46.375" style="257" customWidth="1"/>
    <col min="11" max="11" width="15.875" style="8" customWidth="1"/>
    <col min="12" max="29" width="9" style="8" customWidth="1"/>
    <col min="30" max="16384" width="12.625" style="8"/>
  </cols>
  <sheetData>
    <row r="1" spans="1:29" ht="24" customHeight="1" x14ac:dyDescent="0.4">
      <c r="A1" s="9"/>
      <c r="B1" s="85" t="s">
        <v>0</v>
      </c>
      <c r="C1" s="86" t="s">
        <v>1</v>
      </c>
      <c r="D1" s="87"/>
      <c r="E1" s="87"/>
      <c r="F1" s="4"/>
      <c r="G1" s="4"/>
      <c r="H1" s="4"/>
      <c r="I1" s="88" t="s">
        <v>2</v>
      </c>
      <c r="J1" s="8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24" customHeight="1" x14ac:dyDescent="0.4">
      <c r="A2" s="9"/>
      <c r="B2" s="90" t="s">
        <v>3</v>
      </c>
      <c r="C2" s="91"/>
      <c r="D2" s="91"/>
      <c r="E2" s="91"/>
      <c r="F2" s="13"/>
      <c r="G2" s="13"/>
      <c r="H2" s="13"/>
      <c r="I2" s="92" t="s">
        <v>5</v>
      </c>
      <c r="J2" s="8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3" spans="1:29" ht="24" customHeight="1" x14ac:dyDescent="0.4">
      <c r="A3" s="93"/>
      <c r="B3" s="94"/>
      <c r="C3" s="95"/>
      <c r="D3" s="95"/>
      <c r="E3" s="95"/>
      <c r="F3" s="96"/>
      <c r="G3" s="96"/>
      <c r="H3" s="96"/>
      <c r="I3" s="97"/>
      <c r="J3" s="98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</row>
    <row r="4" spans="1:29" ht="84.75" customHeight="1" x14ac:dyDescent="0.4">
      <c r="A4" s="99" t="s">
        <v>11</v>
      </c>
      <c r="B4" s="99" t="s">
        <v>66</v>
      </c>
      <c r="C4" s="99" t="s">
        <v>67</v>
      </c>
      <c r="D4" s="99" t="s">
        <v>68</v>
      </c>
      <c r="E4" s="100" t="s">
        <v>69</v>
      </c>
      <c r="F4" s="100" t="s">
        <v>70</v>
      </c>
      <c r="G4" s="101" t="s">
        <v>71</v>
      </c>
      <c r="H4" s="101" t="s">
        <v>72</v>
      </c>
      <c r="I4" s="102" t="s">
        <v>73</v>
      </c>
      <c r="J4" s="103" t="s">
        <v>74</v>
      </c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</row>
    <row r="5" spans="1:29" ht="21" customHeight="1" x14ac:dyDescent="0.55000000000000004">
      <c r="A5" s="104"/>
      <c r="B5" s="105" t="s">
        <v>75</v>
      </c>
      <c r="C5" s="106"/>
      <c r="D5" s="107"/>
      <c r="E5" s="108"/>
      <c r="F5" s="109"/>
      <c r="G5" s="110"/>
      <c r="H5" s="110"/>
      <c r="I5" s="111"/>
      <c r="J5" s="112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</row>
    <row r="6" spans="1:29" ht="21" customHeight="1" x14ac:dyDescent="0.55000000000000004">
      <c r="A6" s="113">
        <v>1</v>
      </c>
      <c r="B6" s="114" t="s">
        <v>76</v>
      </c>
      <c r="C6" s="115" t="s">
        <v>77</v>
      </c>
      <c r="D6" s="116" t="s">
        <v>78</v>
      </c>
      <c r="E6" s="117">
        <v>62</v>
      </c>
      <c r="F6" s="118">
        <f>E6-4-4</f>
        <v>54</v>
      </c>
      <c r="G6" s="118">
        <f t="shared" ref="G6:G9" si="0">(F6*70/100)+1</f>
        <v>38.799999999999997</v>
      </c>
      <c r="H6" s="119">
        <v>54</v>
      </c>
      <c r="I6" s="120">
        <f t="shared" ref="I6:I28" si="1">H6*100/G6</f>
        <v>139.17525773195877</v>
      </c>
      <c r="J6" s="112" t="s">
        <v>79</v>
      </c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</row>
    <row r="7" spans="1:29" ht="21" customHeight="1" x14ac:dyDescent="0.55000000000000004">
      <c r="A7" s="121">
        <v>2</v>
      </c>
      <c r="B7" s="115"/>
      <c r="C7" s="115" t="s">
        <v>80</v>
      </c>
      <c r="D7" s="116" t="s">
        <v>78</v>
      </c>
      <c r="E7" s="117">
        <v>61</v>
      </c>
      <c r="F7" s="118">
        <f>E7-5</f>
        <v>56</v>
      </c>
      <c r="G7" s="118">
        <f t="shared" si="0"/>
        <v>40.200000000000003</v>
      </c>
      <c r="H7" s="119">
        <v>55</v>
      </c>
      <c r="I7" s="120">
        <f t="shared" si="1"/>
        <v>136.81592039800995</v>
      </c>
      <c r="J7" s="112" t="s">
        <v>79</v>
      </c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</row>
    <row r="8" spans="1:29" ht="21" customHeight="1" x14ac:dyDescent="0.55000000000000004">
      <c r="A8" s="121">
        <v>3</v>
      </c>
      <c r="B8" s="115"/>
      <c r="C8" s="115" t="s">
        <v>81</v>
      </c>
      <c r="D8" s="116" t="s">
        <v>78</v>
      </c>
      <c r="E8" s="117">
        <v>55</v>
      </c>
      <c r="F8" s="118">
        <f>E8-4-6-1</f>
        <v>44</v>
      </c>
      <c r="G8" s="118">
        <f t="shared" si="0"/>
        <v>31.8</v>
      </c>
      <c r="H8" s="119">
        <v>44</v>
      </c>
      <c r="I8" s="120">
        <f t="shared" si="1"/>
        <v>138.36477987421384</v>
      </c>
      <c r="J8" s="112" t="s">
        <v>79</v>
      </c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</row>
    <row r="9" spans="1:29" ht="21" customHeight="1" x14ac:dyDescent="0.55000000000000004">
      <c r="A9" s="121">
        <v>4</v>
      </c>
      <c r="B9" s="115"/>
      <c r="C9" s="115" t="s">
        <v>82</v>
      </c>
      <c r="D9" s="116" t="s">
        <v>78</v>
      </c>
      <c r="E9" s="117">
        <v>50</v>
      </c>
      <c r="F9" s="118">
        <f>E9-7-2-3</f>
        <v>38</v>
      </c>
      <c r="G9" s="118">
        <f t="shared" si="0"/>
        <v>27.6</v>
      </c>
      <c r="H9" s="119">
        <v>38</v>
      </c>
      <c r="I9" s="120">
        <f t="shared" si="1"/>
        <v>137.68115942028984</v>
      </c>
      <c r="J9" s="112" t="s">
        <v>79</v>
      </c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</row>
    <row r="10" spans="1:29" ht="21" customHeight="1" x14ac:dyDescent="0.55000000000000004">
      <c r="A10" s="121">
        <v>5</v>
      </c>
      <c r="B10" s="115"/>
      <c r="C10" s="115" t="s">
        <v>83</v>
      </c>
      <c r="D10" s="116" t="s">
        <v>78</v>
      </c>
      <c r="E10" s="117">
        <v>66</v>
      </c>
      <c r="F10" s="118">
        <f>E10-2-1-2</f>
        <v>61</v>
      </c>
      <c r="G10" s="118">
        <f>(F10*70/100)+5</f>
        <v>47.7</v>
      </c>
      <c r="H10" s="119">
        <v>58</v>
      </c>
      <c r="I10" s="120">
        <f t="shared" si="1"/>
        <v>121.59329140461215</v>
      </c>
      <c r="J10" s="112" t="s">
        <v>79</v>
      </c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</row>
    <row r="11" spans="1:29" ht="21" customHeight="1" x14ac:dyDescent="0.55000000000000004">
      <c r="A11" s="121">
        <v>6</v>
      </c>
      <c r="B11" s="115"/>
      <c r="C11" s="122" t="s">
        <v>84</v>
      </c>
      <c r="D11" s="116" t="s">
        <v>78</v>
      </c>
      <c r="E11" s="117">
        <v>43</v>
      </c>
      <c r="F11" s="118">
        <f>E11-4-5-2</f>
        <v>32</v>
      </c>
      <c r="G11" s="118">
        <f>(F11*70/100)+1</f>
        <v>23.4</v>
      </c>
      <c r="H11" s="119">
        <v>26</v>
      </c>
      <c r="I11" s="120">
        <f t="shared" si="1"/>
        <v>111.11111111111111</v>
      </c>
      <c r="J11" s="112" t="s">
        <v>79</v>
      </c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</row>
    <row r="12" spans="1:29" ht="21" customHeight="1" x14ac:dyDescent="0.55000000000000004">
      <c r="A12" s="121">
        <v>7</v>
      </c>
      <c r="B12" s="115"/>
      <c r="C12" s="115" t="s">
        <v>85</v>
      </c>
      <c r="D12" s="116" t="s">
        <v>86</v>
      </c>
      <c r="E12" s="117">
        <v>61</v>
      </c>
      <c r="F12" s="118">
        <f>E12-6</f>
        <v>55</v>
      </c>
      <c r="G12" s="118">
        <f>(F12*70/100)+2</f>
        <v>40.5</v>
      </c>
      <c r="H12" s="119">
        <v>54</v>
      </c>
      <c r="I12" s="120">
        <f t="shared" si="1"/>
        <v>133.33333333333334</v>
      </c>
      <c r="J12" s="112" t="s">
        <v>79</v>
      </c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</row>
    <row r="13" spans="1:29" ht="21" customHeight="1" x14ac:dyDescent="0.55000000000000004">
      <c r="A13" s="121"/>
      <c r="B13" s="123" t="s">
        <v>87</v>
      </c>
      <c r="C13" s="123"/>
      <c r="D13" s="124"/>
      <c r="E13" s="125">
        <v>398</v>
      </c>
      <c r="F13" s="126">
        <f t="shared" ref="F13:H13" si="2">SUM(F6:F12)</f>
        <v>340</v>
      </c>
      <c r="G13" s="126">
        <f t="shared" si="2"/>
        <v>250.00000000000003</v>
      </c>
      <c r="H13" s="126">
        <f t="shared" si="2"/>
        <v>329</v>
      </c>
      <c r="I13" s="127">
        <f>H13*100/G13</f>
        <v>131.6</v>
      </c>
      <c r="J13" s="112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</row>
    <row r="14" spans="1:29" ht="21" customHeight="1" x14ac:dyDescent="0.55000000000000004">
      <c r="A14" s="128"/>
      <c r="B14" s="129" t="s">
        <v>88</v>
      </c>
      <c r="C14" s="130"/>
      <c r="D14" s="131"/>
      <c r="E14" s="111"/>
      <c r="F14" s="132"/>
      <c r="G14" s="132"/>
      <c r="H14" s="132"/>
      <c r="I14" s="111"/>
      <c r="J14" s="112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</row>
    <row r="15" spans="1:29" ht="21" customHeight="1" x14ac:dyDescent="0.55000000000000004">
      <c r="A15" s="121">
        <v>8</v>
      </c>
      <c r="B15" s="122" t="s">
        <v>89</v>
      </c>
      <c r="C15" s="133" t="s">
        <v>90</v>
      </c>
      <c r="D15" s="134" t="s">
        <v>91</v>
      </c>
      <c r="E15" s="135">
        <v>39</v>
      </c>
      <c r="F15" s="136">
        <f>E15-1-1-2</f>
        <v>35</v>
      </c>
      <c r="G15" s="136">
        <f t="shared" ref="G15:G28" si="3">F15*70/100</f>
        <v>24.5</v>
      </c>
      <c r="H15" s="137">
        <v>32</v>
      </c>
      <c r="I15" s="120">
        <f t="shared" si="1"/>
        <v>130.61224489795919</v>
      </c>
      <c r="J15" s="112" t="s">
        <v>92</v>
      </c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</row>
    <row r="16" spans="1:29" ht="21" customHeight="1" x14ac:dyDescent="0.55000000000000004">
      <c r="A16" s="121">
        <v>9</v>
      </c>
      <c r="B16" s="122"/>
      <c r="C16" s="138" t="s">
        <v>93</v>
      </c>
      <c r="D16" s="134" t="s">
        <v>94</v>
      </c>
      <c r="E16" s="135">
        <v>17</v>
      </c>
      <c r="F16" s="136">
        <f t="shared" ref="F16:F17" si="4">E16-2-2</f>
        <v>13</v>
      </c>
      <c r="G16" s="136">
        <f t="shared" si="3"/>
        <v>9.1</v>
      </c>
      <c r="H16" s="137">
        <v>7</v>
      </c>
      <c r="I16" s="120">
        <f t="shared" si="1"/>
        <v>76.92307692307692</v>
      </c>
      <c r="J16" s="112" t="s">
        <v>95</v>
      </c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</row>
    <row r="17" spans="1:29" ht="21" customHeight="1" x14ac:dyDescent="0.55000000000000004">
      <c r="A17" s="121">
        <v>10</v>
      </c>
      <c r="B17" s="122"/>
      <c r="C17" s="138" t="s">
        <v>96</v>
      </c>
      <c r="D17" s="134" t="s">
        <v>91</v>
      </c>
      <c r="E17" s="139">
        <v>19</v>
      </c>
      <c r="F17" s="140">
        <f t="shared" si="4"/>
        <v>15</v>
      </c>
      <c r="G17" s="136">
        <f t="shared" si="3"/>
        <v>10.5</v>
      </c>
      <c r="H17" s="141">
        <v>14</v>
      </c>
      <c r="I17" s="120">
        <f t="shared" si="1"/>
        <v>133.33333333333334</v>
      </c>
      <c r="J17" s="112" t="s">
        <v>97</v>
      </c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</row>
    <row r="18" spans="1:29" ht="21" customHeight="1" x14ac:dyDescent="0.55000000000000004">
      <c r="A18" s="121">
        <v>11</v>
      </c>
      <c r="B18" s="122"/>
      <c r="C18" s="138" t="s">
        <v>98</v>
      </c>
      <c r="D18" s="134" t="s">
        <v>91</v>
      </c>
      <c r="E18" s="139">
        <v>9</v>
      </c>
      <c r="F18" s="140">
        <v>9</v>
      </c>
      <c r="G18" s="136">
        <f t="shared" si="3"/>
        <v>6.3</v>
      </c>
      <c r="H18" s="141"/>
      <c r="I18" s="120">
        <f t="shared" si="1"/>
        <v>0</v>
      </c>
      <c r="J18" s="112" t="s">
        <v>97</v>
      </c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</row>
    <row r="19" spans="1:29" ht="21" customHeight="1" x14ac:dyDescent="0.55000000000000004">
      <c r="A19" s="121">
        <v>12</v>
      </c>
      <c r="B19" s="122"/>
      <c r="C19" s="138" t="s">
        <v>99</v>
      </c>
      <c r="D19" s="134" t="s">
        <v>91</v>
      </c>
      <c r="E19" s="139">
        <v>8</v>
      </c>
      <c r="F19" s="140">
        <f>E19-1-3</f>
        <v>4</v>
      </c>
      <c r="G19" s="136">
        <f t="shared" si="3"/>
        <v>2.8</v>
      </c>
      <c r="H19" s="141">
        <v>3</v>
      </c>
      <c r="I19" s="120">
        <f t="shared" si="1"/>
        <v>107.14285714285715</v>
      </c>
      <c r="J19" s="112" t="s">
        <v>95</v>
      </c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</row>
    <row r="20" spans="1:29" ht="21" customHeight="1" x14ac:dyDescent="0.55000000000000004">
      <c r="A20" s="121">
        <v>13</v>
      </c>
      <c r="B20" s="122"/>
      <c r="C20" s="138" t="s">
        <v>100</v>
      </c>
      <c r="D20" s="134" t="s">
        <v>91</v>
      </c>
      <c r="E20" s="139">
        <v>13</v>
      </c>
      <c r="F20" s="140">
        <f>E20-5-1</f>
        <v>7</v>
      </c>
      <c r="G20" s="136">
        <f t="shared" si="3"/>
        <v>4.9000000000000004</v>
      </c>
      <c r="H20" s="141">
        <v>7</v>
      </c>
      <c r="I20" s="120">
        <f t="shared" si="1"/>
        <v>142.85714285714283</v>
      </c>
      <c r="J20" s="112" t="s">
        <v>101</v>
      </c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</row>
    <row r="21" spans="1:29" ht="21" customHeight="1" x14ac:dyDescent="0.55000000000000004">
      <c r="A21" s="121">
        <v>14</v>
      </c>
      <c r="B21" s="122"/>
      <c r="C21" s="138" t="s">
        <v>102</v>
      </c>
      <c r="D21" s="134" t="s">
        <v>94</v>
      </c>
      <c r="E21" s="139">
        <v>27</v>
      </c>
      <c r="F21" s="140">
        <f>E21-3-4-1</f>
        <v>19</v>
      </c>
      <c r="G21" s="136">
        <f t="shared" si="3"/>
        <v>13.3</v>
      </c>
      <c r="H21" s="141">
        <v>3</v>
      </c>
      <c r="I21" s="120">
        <f t="shared" si="1"/>
        <v>22.556390977443609</v>
      </c>
      <c r="J21" s="112" t="s">
        <v>95</v>
      </c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</row>
    <row r="22" spans="1:29" ht="21" customHeight="1" x14ac:dyDescent="0.55000000000000004">
      <c r="A22" s="121">
        <v>15</v>
      </c>
      <c r="B22" s="122"/>
      <c r="C22" s="138" t="s">
        <v>103</v>
      </c>
      <c r="D22" s="134" t="s">
        <v>94</v>
      </c>
      <c r="E22" s="139">
        <v>7</v>
      </c>
      <c r="F22" s="140">
        <v>7</v>
      </c>
      <c r="G22" s="136">
        <f t="shared" si="3"/>
        <v>4.9000000000000004</v>
      </c>
      <c r="H22" s="142">
        <v>7</v>
      </c>
      <c r="I22" s="120">
        <f t="shared" si="1"/>
        <v>142.85714285714283</v>
      </c>
      <c r="J22" s="112" t="s">
        <v>97</v>
      </c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</row>
    <row r="23" spans="1:29" ht="21" customHeight="1" x14ac:dyDescent="0.55000000000000004">
      <c r="A23" s="121">
        <v>16</v>
      </c>
      <c r="B23" s="115"/>
      <c r="C23" s="143" t="s">
        <v>104</v>
      </c>
      <c r="D23" s="134" t="s">
        <v>91</v>
      </c>
      <c r="E23" s="144">
        <v>85</v>
      </c>
      <c r="F23" s="118">
        <f>E23-11-6-5</f>
        <v>63</v>
      </c>
      <c r="G23" s="136">
        <f t="shared" si="3"/>
        <v>44.1</v>
      </c>
      <c r="H23" s="145">
        <v>54</v>
      </c>
      <c r="I23" s="120">
        <f t="shared" si="1"/>
        <v>122.44897959183673</v>
      </c>
      <c r="J23" s="112" t="s">
        <v>101</v>
      </c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</row>
    <row r="24" spans="1:29" ht="21" customHeight="1" x14ac:dyDescent="0.55000000000000004">
      <c r="A24" s="121">
        <v>17</v>
      </c>
      <c r="B24" s="115"/>
      <c r="C24" s="143" t="s">
        <v>105</v>
      </c>
      <c r="D24" s="134" t="s">
        <v>106</v>
      </c>
      <c r="E24" s="144">
        <v>82</v>
      </c>
      <c r="F24" s="118">
        <f>E24-15-8-7</f>
        <v>52</v>
      </c>
      <c r="G24" s="136">
        <f t="shared" si="3"/>
        <v>36.4</v>
      </c>
      <c r="H24" s="146">
        <v>19</v>
      </c>
      <c r="I24" s="120">
        <f t="shared" si="1"/>
        <v>52.197802197802197</v>
      </c>
      <c r="J24" s="112" t="s">
        <v>107</v>
      </c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</row>
    <row r="25" spans="1:29" ht="21" customHeight="1" x14ac:dyDescent="0.55000000000000004">
      <c r="A25" s="121">
        <v>18</v>
      </c>
      <c r="B25" s="115"/>
      <c r="C25" s="143" t="s">
        <v>108</v>
      </c>
      <c r="D25" s="134" t="s">
        <v>91</v>
      </c>
      <c r="E25" s="117">
        <v>77</v>
      </c>
      <c r="F25" s="118">
        <f>E25-10-2-6</f>
        <v>59</v>
      </c>
      <c r="G25" s="136">
        <f t="shared" si="3"/>
        <v>41.3</v>
      </c>
      <c r="H25" s="145">
        <v>43</v>
      </c>
      <c r="I25" s="120">
        <f t="shared" si="1"/>
        <v>104.11622276029057</v>
      </c>
      <c r="J25" s="112" t="s">
        <v>101</v>
      </c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</row>
    <row r="26" spans="1:29" ht="21" customHeight="1" x14ac:dyDescent="0.55000000000000004">
      <c r="A26" s="121">
        <v>19</v>
      </c>
      <c r="B26" s="115"/>
      <c r="C26" s="143" t="s">
        <v>109</v>
      </c>
      <c r="D26" s="134" t="s">
        <v>91</v>
      </c>
      <c r="E26" s="117">
        <v>44</v>
      </c>
      <c r="F26" s="118">
        <f>E26-4-4-1</f>
        <v>35</v>
      </c>
      <c r="G26" s="136">
        <f t="shared" si="3"/>
        <v>24.5</v>
      </c>
      <c r="H26" s="145">
        <v>33</v>
      </c>
      <c r="I26" s="120">
        <f t="shared" si="1"/>
        <v>134.69387755102042</v>
      </c>
      <c r="J26" s="112" t="s">
        <v>95</v>
      </c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</row>
    <row r="27" spans="1:29" ht="21" customHeight="1" x14ac:dyDescent="0.55000000000000004">
      <c r="A27" s="121">
        <v>20</v>
      </c>
      <c r="B27" s="115"/>
      <c r="C27" s="143" t="s">
        <v>110</v>
      </c>
      <c r="D27" s="134" t="s">
        <v>91</v>
      </c>
      <c r="E27" s="147">
        <v>101</v>
      </c>
      <c r="F27" s="148">
        <f>E27-9-3-2</f>
        <v>87</v>
      </c>
      <c r="G27" s="136">
        <f t="shared" si="3"/>
        <v>60.9</v>
      </c>
      <c r="H27" s="149">
        <v>40</v>
      </c>
      <c r="I27" s="120">
        <f t="shared" si="1"/>
        <v>65.681444991789817</v>
      </c>
      <c r="J27" s="112" t="s">
        <v>95</v>
      </c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</row>
    <row r="28" spans="1:29" ht="21" customHeight="1" x14ac:dyDescent="0.55000000000000004">
      <c r="A28" s="121">
        <v>21</v>
      </c>
      <c r="B28" s="115"/>
      <c r="C28" s="115" t="s">
        <v>111</v>
      </c>
      <c r="D28" s="150" t="s">
        <v>112</v>
      </c>
      <c r="E28" s="121">
        <v>35</v>
      </c>
      <c r="F28" s="148">
        <f>E28-1</f>
        <v>34</v>
      </c>
      <c r="G28" s="136">
        <f t="shared" si="3"/>
        <v>23.8</v>
      </c>
      <c r="H28" s="149">
        <v>33</v>
      </c>
      <c r="I28" s="120">
        <f t="shared" si="1"/>
        <v>138.65546218487395</v>
      </c>
      <c r="J28" s="112" t="s">
        <v>107</v>
      </c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</row>
    <row r="29" spans="1:29" ht="21" customHeight="1" x14ac:dyDescent="0.55000000000000004">
      <c r="A29" s="121">
        <v>22</v>
      </c>
      <c r="B29" s="115"/>
      <c r="C29" s="143" t="s">
        <v>113</v>
      </c>
      <c r="D29" s="150" t="s">
        <v>78</v>
      </c>
      <c r="E29" s="144">
        <v>133</v>
      </c>
      <c r="F29" s="151">
        <f>E29-26-2-3</f>
        <v>102</v>
      </c>
      <c r="G29" s="136">
        <f>(F29*70/100)+1</f>
        <v>72.400000000000006</v>
      </c>
      <c r="H29" s="152">
        <v>67</v>
      </c>
      <c r="I29" s="120">
        <f>H29*100/G29</f>
        <v>92.541436464088392</v>
      </c>
      <c r="J29" s="112" t="s">
        <v>114</v>
      </c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</row>
    <row r="30" spans="1:29" ht="21" customHeight="1" x14ac:dyDescent="0.55000000000000004">
      <c r="A30" s="121"/>
      <c r="B30" s="153" t="s">
        <v>115</v>
      </c>
      <c r="C30" s="153"/>
      <c r="D30" s="154"/>
      <c r="E30" s="155">
        <f t="shared" ref="E30:H30" si="5">SUM(E15:E29)</f>
        <v>696</v>
      </c>
      <c r="F30" s="156">
        <f t="shared" si="5"/>
        <v>541</v>
      </c>
      <c r="G30" s="156">
        <f t="shared" si="5"/>
        <v>379.70000000000005</v>
      </c>
      <c r="H30" s="156">
        <f t="shared" si="5"/>
        <v>362</v>
      </c>
      <c r="I30" s="127">
        <f>H30*100/G30</f>
        <v>95.338425072425593</v>
      </c>
      <c r="J30" s="112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</row>
    <row r="31" spans="1:29" ht="21" customHeight="1" x14ac:dyDescent="0.55000000000000004">
      <c r="A31" s="128"/>
      <c r="B31" s="129" t="s">
        <v>116</v>
      </c>
      <c r="C31" s="130"/>
      <c r="D31" s="157"/>
      <c r="E31" s="111"/>
      <c r="F31" s="132"/>
      <c r="G31" s="132"/>
      <c r="H31" s="132"/>
      <c r="I31" s="111"/>
      <c r="J31" s="112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</row>
    <row r="32" spans="1:29" ht="21" customHeight="1" x14ac:dyDescent="0.55000000000000004">
      <c r="A32" s="121">
        <v>23</v>
      </c>
      <c r="B32" s="122" t="s">
        <v>117</v>
      </c>
      <c r="C32" s="143" t="s">
        <v>118</v>
      </c>
      <c r="D32" s="150" t="s">
        <v>86</v>
      </c>
      <c r="E32" s="117">
        <v>17</v>
      </c>
      <c r="F32" s="158">
        <f>E32-6-2-3</f>
        <v>6</v>
      </c>
      <c r="G32" s="158">
        <f t="shared" ref="G32:G33" si="6">F32*70/100</f>
        <v>4.2</v>
      </c>
      <c r="H32" s="159">
        <v>6</v>
      </c>
      <c r="I32" s="120">
        <f>H32*100/G32</f>
        <v>142.85714285714286</v>
      </c>
      <c r="J32" s="112" t="s">
        <v>119</v>
      </c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</row>
    <row r="33" spans="1:29" ht="21" customHeight="1" x14ac:dyDescent="0.55000000000000004">
      <c r="A33" s="121">
        <v>24</v>
      </c>
      <c r="B33" s="143" t="s">
        <v>120</v>
      </c>
      <c r="C33" s="143" t="s">
        <v>121</v>
      </c>
      <c r="D33" s="150" t="s">
        <v>86</v>
      </c>
      <c r="E33" s="117">
        <v>81</v>
      </c>
      <c r="F33" s="118">
        <f>E33-5-4-1</f>
        <v>71</v>
      </c>
      <c r="G33" s="158">
        <f t="shared" si="6"/>
        <v>49.7</v>
      </c>
      <c r="H33" s="145">
        <v>67</v>
      </c>
      <c r="I33" s="120">
        <f t="shared" ref="I33:I37" si="7">H33*100/G33</f>
        <v>134.80885311871228</v>
      </c>
      <c r="J33" s="112" t="s">
        <v>119</v>
      </c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</row>
    <row r="34" spans="1:29" ht="21" customHeight="1" x14ac:dyDescent="0.55000000000000004">
      <c r="A34" s="121">
        <v>25</v>
      </c>
      <c r="B34" s="122"/>
      <c r="C34" s="122" t="s">
        <v>122</v>
      </c>
      <c r="D34" s="150" t="s">
        <v>86</v>
      </c>
      <c r="E34" s="117">
        <v>119</v>
      </c>
      <c r="F34" s="118">
        <f>E34-4-4-2</f>
        <v>109</v>
      </c>
      <c r="G34" s="158">
        <f>(F34*70/100)+3</f>
        <v>79.3</v>
      </c>
      <c r="H34" s="145">
        <v>93</v>
      </c>
      <c r="I34" s="120">
        <f t="shared" si="7"/>
        <v>117.27616645649432</v>
      </c>
      <c r="J34" s="112" t="s">
        <v>119</v>
      </c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</row>
    <row r="35" spans="1:29" ht="21" customHeight="1" x14ac:dyDescent="0.55000000000000004">
      <c r="A35" s="121">
        <v>26</v>
      </c>
      <c r="B35" s="115"/>
      <c r="C35" s="143" t="s">
        <v>123</v>
      </c>
      <c r="D35" s="150" t="s">
        <v>86</v>
      </c>
      <c r="E35" s="117">
        <v>169</v>
      </c>
      <c r="F35" s="118">
        <f>E35-12-11-23</f>
        <v>123</v>
      </c>
      <c r="G35" s="158">
        <f>(F35*70/100)+7</f>
        <v>93.1</v>
      </c>
      <c r="H35" s="145">
        <v>92</v>
      </c>
      <c r="I35" s="120">
        <f t="shared" si="7"/>
        <v>98.818474758324385</v>
      </c>
      <c r="J35" s="112" t="s">
        <v>119</v>
      </c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</row>
    <row r="36" spans="1:29" ht="21" customHeight="1" x14ac:dyDescent="0.55000000000000004">
      <c r="A36" s="121">
        <v>27</v>
      </c>
      <c r="B36" s="115"/>
      <c r="C36" s="122" t="s">
        <v>124</v>
      </c>
      <c r="D36" s="150" t="s">
        <v>86</v>
      </c>
      <c r="E36" s="117">
        <v>54</v>
      </c>
      <c r="F36" s="118">
        <f>E36-1-3-2</f>
        <v>48</v>
      </c>
      <c r="G36" s="158">
        <f>F36*70/100</f>
        <v>33.6</v>
      </c>
      <c r="H36" s="145">
        <v>34</v>
      </c>
      <c r="I36" s="120">
        <f t="shared" si="7"/>
        <v>101.19047619047619</v>
      </c>
      <c r="J36" s="112" t="s">
        <v>119</v>
      </c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</row>
    <row r="37" spans="1:29" ht="21" customHeight="1" x14ac:dyDescent="0.55000000000000004">
      <c r="A37" s="121">
        <v>28</v>
      </c>
      <c r="B37" s="115"/>
      <c r="C37" s="122" t="s">
        <v>125</v>
      </c>
      <c r="D37" s="150" t="s">
        <v>86</v>
      </c>
      <c r="E37" s="117">
        <v>129</v>
      </c>
      <c r="F37" s="118">
        <f>E37-7-7-3</f>
        <v>112</v>
      </c>
      <c r="G37" s="158">
        <f t="shared" ref="G37:G38" si="8">(F37*70/100)+5</f>
        <v>83.4</v>
      </c>
      <c r="H37" s="145">
        <v>87</v>
      </c>
      <c r="I37" s="120">
        <f t="shared" si="7"/>
        <v>104.31654676258992</v>
      </c>
      <c r="J37" s="112" t="s">
        <v>119</v>
      </c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</row>
    <row r="38" spans="1:29" ht="21" customHeight="1" x14ac:dyDescent="0.55000000000000004">
      <c r="A38" s="121">
        <v>29</v>
      </c>
      <c r="B38" s="115"/>
      <c r="C38" s="160" t="s">
        <v>126</v>
      </c>
      <c r="D38" s="150" t="s">
        <v>86</v>
      </c>
      <c r="E38" s="135">
        <v>130</v>
      </c>
      <c r="F38" s="161">
        <f>E38-15-10-2</f>
        <v>103</v>
      </c>
      <c r="G38" s="158">
        <f t="shared" si="8"/>
        <v>77.099999999999994</v>
      </c>
      <c r="H38" s="145">
        <v>95</v>
      </c>
      <c r="I38" s="120">
        <f>H38*100/G38</f>
        <v>123.21660181582361</v>
      </c>
      <c r="J38" s="112" t="s">
        <v>119</v>
      </c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</row>
    <row r="39" spans="1:29" ht="21" customHeight="1" x14ac:dyDescent="0.55000000000000004">
      <c r="A39" s="121"/>
      <c r="B39" s="162" t="s">
        <v>115</v>
      </c>
      <c r="C39" s="163"/>
      <c r="D39" s="164"/>
      <c r="E39" s="165">
        <f t="shared" ref="E39:H39" si="9">SUM(E32:E38)</f>
        <v>699</v>
      </c>
      <c r="F39" s="166">
        <f t="shared" si="9"/>
        <v>572</v>
      </c>
      <c r="G39" s="166">
        <f t="shared" si="9"/>
        <v>420.4</v>
      </c>
      <c r="H39" s="166">
        <f t="shared" si="9"/>
        <v>474</v>
      </c>
      <c r="I39" s="127">
        <f>H39*100/G39</f>
        <v>112.74976213130353</v>
      </c>
      <c r="J39" s="112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</row>
    <row r="40" spans="1:29" ht="21" customHeight="1" x14ac:dyDescent="0.55000000000000004">
      <c r="A40" s="128"/>
      <c r="B40" s="129" t="s">
        <v>127</v>
      </c>
      <c r="C40" s="130"/>
      <c r="D40" s="167"/>
      <c r="E40" s="111"/>
      <c r="F40" s="132"/>
      <c r="G40" s="132"/>
      <c r="H40" s="132"/>
      <c r="I40" s="111"/>
      <c r="J40" s="112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</row>
    <row r="41" spans="1:29" ht="21" customHeight="1" x14ac:dyDescent="0.55000000000000004">
      <c r="A41" s="121">
        <v>30</v>
      </c>
      <c r="B41" s="115" t="s">
        <v>128</v>
      </c>
      <c r="C41" s="122" t="s">
        <v>129</v>
      </c>
      <c r="D41" s="150" t="s">
        <v>86</v>
      </c>
      <c r="E41" s="168">
        <v>57</v>
      </c>
      <c r="F41" s="169">
        <f>E41-6-1-1</f>
        <v>49</v>
      </c>
      <c r="G41" s="169">
        <f t="shared" ref="G41:G49" si="10">F41*70/100</f>
        <v>34.299999999999997</v>
      </c>
      <c r="H41" s="170">
        <v>42</v>
      </c>
      <c r="I41" s="120">
        <f>H41*100/G41</f>
        <v>122.44897959183675</v>
      </c>
      <c r="J41" s="112" t="s">
        <v>92</v>
      </c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</row>
    <row r="42" spans="1:29" ht="21" customHeight="1" x14ac:dyDescent="0.55000000000000004">
      <c r="A42" s="121">
        <v>31</v>
      </c>
      <c r="B42" s="143" t="s">
        <v>130</v>
      </c>
      <c r="C42" s="115" t="s">
        <v>131</v>
      </c>
      <c r="D42" s="150" t="s">
        <v>86</v>
      </c>
      <c r="E42" s="168">
        <v>358</v>
      </c>
      <c r="F42" s="169">
        <f>E42-35-25-26</f>
        <v>272</v>
      </c>
      <c r="G42" s="169">
        <f t="shared" si="10"/>
        <v>190.4</v>
      </c>
      <c r="H42" s="170">
        <v>252</v>
      </c>
      <c r="I42" s="120">
        <f t="shared" ref="I42:I49" si="11">H42*100/G42</f>
        <v>132.35294117647058</v>
      </c>
      <c r="J42" s="112" t="s">
        <v>92</v>
      </c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</row>
    <row r="43" spans="1:29" ht="21" customHeight="1" x14ac:dyDescent="0.55000000000000004">
      <c r="A43" s="121">
        <v>32</v>
      </c>
      <c r="B43" s="143" t="s">
        <v>132</v>
      </c>
      <c r="C43" s="115" t="s">
        <v>133</v>
      </c>
      <c r="D43" s="150" t="s">
        <v>86</v>
      </c>
      <c r="E43" s="168">
        <v>55</v>
      </c>
      <c r="F43" s="169">
        <f>55-12-11-4-2</f>
        <v>26</v>
      </c>
      <c r="G43" s="169">
        <f t="shared" si="10"/>
        <v>18.2</v>
      </c>
      <c r="H43" s="170">
        <v>34</v>
      </c>
      <c r="I43" s="120">
        <f t="shared" si="11"/>
        <v>186.81318681318683</v>
      </c>
      <c r="J43" s="112" t="s">
        <v>92</v>
      </c>
      <c r="K43" s="73" t="s">
        <v>134</v>
      </c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</row>
    <row r="44" spans="1:29" ht="24" customHeight="1" x14ac:dyDescent="0.55000000000000004">
      <c r="A44" s="121">
        <v>33</v>
      </c>
      <c r="B44" s="171"/>
      <c r="C44" s="160" t="s">
        <v>135</v>
      </c>
      <c r="D44" s="150" t="s">
        <v>86</v>
      </c>
      <c r="E44" s="172">
        <v>108</v>
      </c>
      <c r="F44" s="118">
        <f>E44-13-2-4</f>
        <v>89</v>
      </c>
      <c r="G44" s="169">
        <f t="shared" si="10"/>
        <v>62.3</v>
      </c>
      <c r="H44" s="170">
        <v>72</v>
      </c>
      <c r="I44" s="120">
        <f t="shared" si="11"/>
        <v>115.56982343499197</v>
      </c>
      <c r="J44" s="112" t="s">
        <v>92</v>
      </c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</row>
    <row r="45" spans="1:29" ht="24" customHeight="1" x14ac:dyDescent="0.55000000000000004">
      <c r="A45" s="121">
        <v>34</v>
      </c>
      <c r="B45" s="143"/>
      <c r="C45" s="160" t="s">
        <v>136</v>
      </c>
      <c r="D45" s="150" t="s">
        <v>86</v>
      </c>
      <c r="E45" s="172">
        <v>100</v>
      </c>
      <c r="F45" s="118">
        <f>E45-10-1-9</f>
        <v>80</v>
      </c>
      <c r="G45" s="169">
        <f t="shared" si="10"/>
        <v>56</v>
      </c>
      <c r="H45" s="170">
        <v>74</v>
      </c>
      <c r="I45" s="120">
        <f>H45*100/G45</f>
        <v>132.14285714285714</v>
      </c>
      <c r="J45" s="112" t="s">
        <v>92</v>
      </c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</row>
    <row r="46" spans="1:29" ht="24" customHeight="1" x14ac:dyDescent="0.55000000000000004">
      <c r="A46" s="121">
        <v>35</v>
      </c>
      <c r="B46" s="143"/>
      <c r="C46" s="160" t="s">
        <v>137</v>
      </c>
      <c r="D46" s="150" t="s">
        <v>86</v>
      </c>
      <c r="E46" s="172">
        <v>216</v>
      </c>
      <c r="F46" s="118">
        <f>E46-19-10-11</f>
        <v>176</v>
      </c>
      <c r="G46" s="169">
        <f t="shared" si="10"/>
        <v>123.2</v>
      </c>
      <c r="H46" s="170">
        <v>150</v>
      </c>
      <c r="I46" s="120">
        <f t="shared" si="11"/>
        <v>121.75324675324676</v>
      </c>
      <c r="J46" s="112" t="s">
        <v>92</v>
      </c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</row>
    <row r="47" spans="1:29" ht="24" customHeight="1" x14ac:dyDescent="0.55000000000000004">
      <c r="A47" s="121">
        <v>36</v>
      </c>
      <c r="B47" s="143"/>
      <c r="C47" s="160" t="s">
        <v>138</v>
      </c>
      <c r="D47" s="150" t="s">
        <v>86</v>
      </c>
      <c r="E47" s="172">
        <v>94</v>
      </c>
      <c r="F47" s="118">
        <f>E47-9-3-12</f>
        <v>70</v>
      </c>
      <c r="G47" s="169">
        <f t="shared" si="10"/>
        <v>49</v>
      </c>
      <c r="H47" s="170">
        <v>57</v>
      </c>
      <c r="I47" s="120">
        <f t="shared" si="11"/>
        <v>116.32653061224489</v>
      </c>
      <c r="J47" s="112" t="s">
        <v>92</v>
      </c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</row>
    <row r="48" spans="1:29" ht="24" customHeight="1" x14ac:dyDescent="0.55000000000000004">
      <c r="A48" s="121">
        <v>37</v>
      </c>
      <c r="B48" s="143"/>
      <c r="C48" s="160" t="s">
        <v>139</v>
      </c>
      <c r="D48" s="150" t="s">
        <v>86</v>
      </c>
      <c r="E48" s="172">
        <v>137</v>
      </c>
      <c r="F48" s="118">
        <f>E48-24-10-6</f>
        <v>97</v>
      </c>
      <c r="G48" s="169">
        <f t="shared" si="10"/>
        <v>67.900000000000006</v>
      </c>
      <c r="H48" s="170">
        <v>76</v>
      </c>
      <c r="I48" s="120">
        <f t="shared" si="11"/>
        <v>111.92930780559645</v>
      </c>
      <c r="J48" s="112" t="s">
        <v>92</v>
      </c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</row>
    <row r="49" spans="1:29" ht="24" customHeight="1" x14ac:dyDescent="0.55000000000000004">
      <c r="A49" s="121">
        <v>38</v>
      </c>
      <c r="B49" s="143"/>
      <c r="C49" s="160" t="s">
        <v>140</v>
      </c>
      <c r="D49" s="150" t="s">
        <v>86</v>
      </c>
      <c r="E49" s="172">
        <v>240</v>
      </c>
      <c r="F49" s="118">
        <f>E49-26-8-18</f>
        <v>188</v>
      </c>
      <c r="G49" s="169">
        <f t="shared" si="10"/>
        <v>131.6</v>
      </c>
      <c r="H49" s="170">
        <v>141</v>
      </c>
      <c r="I49" s="120">
        <f t="shared" si="11"/>
        <v>107.14285714285715</v>
      </c>
      <c r="J49" s="112" t="s">
        <v>92</v>
      </c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</row>
    <row r="50" spans="1:29" ht="24" customHeight="1" x14ac:dyDescent="0.55000000000000004">
      <c r="A50" s="121"/>
      <c r="B50" s="173" t="s">
        <v>115</v>
      </c>
      <c r="C50" s="173"/>
      <c r="D50" s="174"/>
      <c r="E50" s="175">
        <f t="shared" ref="E50:H50" si="12">SUM(E41:E49)</f>
        <v>1365</v>
      </c>
      <c r="F50" s="176">
        <f t="shared" si="12"/>
        <v>1047</v>
      </c>
      <c r="G50" s="176">
        <f t="shared" si="12"/>
        <v>732.9</v>
      </c>
      <c r="H50" s="176">
        <f t="shared" si="12"/>
        <v>898</v>
      </c>
      <c r="I50" s="127">
        <f>H50*100/G50</f>
        <v>122.52694774184747</v>
      </c>
      <c r="J50" s="112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</row>
    <row r="51" spans="1:29" ht="24" customHeight="1" x14ac:dyDescent="0.55000000000000004">
      <c r="A51" s="128"/>
      <c r="B51" s="177" t="s">
        <v>141</v>
      </c>
      <c r="C51" s="130"/>
      <c r="D51" s="157"/>
      <c r="E51" s="111"/>
      <c r="F51" s="132"/>
      <c r="G51" s="132"/>
      <c r="H51" s="132"/>
      <c r="I51" s="111"/>
      <c r="J51" s="112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</row>
    <row r="52" spans="1:29" ht="24" customHeight="1" x14ac:dyDescent="0.55000000000000004">
      <c r="A52" s="121">
        <v>39</v>
      </c>
      <c r="B52" s="122" t="s">
        <v>89</v>
      </c>
      <c r="C52" s="122" t="s">
        <v>142</v>
      </c>
      <c r="D52" s="150" t="s">
        <v>143</v>
      </c>
      <c r="E52" s="117">
        <v>30</v>
      </c>
      <c r="F52" s="118">
        <f>30-7-4-4</f>
        <v>15</v>
      </c>
      <c r="G52" s="118">
        <f>F52*70/100</f>
        <v>10.5</v>
      </c>
      <c r="H52" s="146"/>
      <c r="I52" s="120">
        <f t="shared" ref="I52:I60" si="13">H52*100/G52</f>
        <v>0</v>
      </c>
      <c r="J52" s="112" t="s">
        <v>101</v>
      </c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</row>
    <row r="53" spans="1:29" ht="24" customHeight="1" x14ac:dyDescent="0.55000000000000004">
      <c r="A53" s="121">
        <v>40</v>
      </c>
      <c r="B53" s="122"/>
      <c r="C53" s="122" t="s">
        <v>144</v>
      </c>
      <c r="D53" s="150" t="s">
        <v>143</v>
      </c>
      <c r="E53" s="117">
        <v>56</v>
      </c>
      <c r="F53" s="118">
        <f>56-17-2-6</f>
        <v>31</v>
      </c>
      <c r="G53" s="118">
        <f>(F53*70/100)+1</f>
        <v>22.7</v>
      </c>
      <c r="H53" s="145">
        <v>6</v>
      </c>
      <c r="I53" s="120">
        <f t="shared" si="13"/>
        <v>26.431718061674008</v>
      </c>
      <c r="J53" s="112" t="s">
        <v>101</v>
      </c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</row>
    <row r="54" spans="1:29" ht="39.75" customHeight="1" x14ac:dyDescent="0.55000000000000004">
      <c r="A54" s="121">
        <v>41</v>
      </c>
      <c r="B54" s="122"/>
      <c r="C54" s="122" t="s">
        <v>145</v>
      </c>
      <c r="D54" s="150" t="s">
        <v>78</v>
      </c>
      <c r="E54" s="117">
        <v>25</v>
      </c>
      <c r="F54" s="118">
        <f>25-6-1-2</f>
        <v>16</v>
      </c>
      <c r="G54" s="118">
        <f t="shared" ref="G54:G59" si="14">F54*70/100</f>
        <v>11.2</v>
      </c>
      <c r="H54" s="145">
        <v>9</v>
      </c>
      <c r="I54" s="120">
        <f t="shared" si="13"/>
        <v>80.357142857142861</v>
      </c>
      <c r="J54" s="112" t="s">
        <v>101</v>
      </c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</row>
    <row r="55" spans="1:29" ht="24.75" customHeight="1" x14ac:dyDescent="0.55000000000000004">
      <c r="A55" s="121">
        <v>42</v>
      </c>
      <c r="B55" s="122"/>
      <c r="C55" s="122" t="s">
        <v>146</v>
      </c>
      <c r="D55" s="150" t="s">
        <v>86</v>
      </c>
      <c r="E55" s="117">
        <v>7</v>
      </c>
      <c r="F55" s="118">
        <f>7-6</f>
        <v>1</v>
      </c>
      <c r="G55" s="118">
        <f t="shared" si="14"/>
        <v>0.7</v>
      </c>
      <c r="H55" s="146"/>
      <c r="I55" s="120">
        <f t="shared" si="13"/>
        <v>0</v>
      </c>
      <c r="J55" s="112" t="s">
        <v>101</v>
      </c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</row>
    <row r="56" spans="1:29" ht="24.75" customHeight="1" x14ac:dyDescent="0.55000000000000004">
      <c r="A56" s="121">
        <v>43</v>
      </c>
      <c r="B56" s="122"/>
      <c r="C56" s="122" t="s">
        <v>147</v>
      </c>
      <c r="D56" s="150" t="s">
        <v>86</v>
      </c>
      <c r="E56" s="117">
        <v>24</v>
      </c>
      <c r="F56" s="118">
        <f>24-9</f>
        <v>15</v>
      </c>
      <c r="G56" s="118">
        <f t="shared" si="14"/>
        <v>10.5</v>
      </c>
      <c r="H56" s="145">
        <v>6</v>
      </c>
      <c r="I56" s="120">
        <f t="shared" si="13"/>
        <v>57.142857142857146</v>
      </c>
      <c r="J56" s="112" t="s">
        <v>101</v>
      </c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</row>
    <row r="57" spans="1:29" ht="24" customHeight="1" x14ac:dyDescent="0.55000000000000004">
      <c r="A57" s="121">
        <v>44</v>
      </c>
      <c r="B57" s="122" t="s">
        <v>148</v>
      </c>
      <c r="C57" s="122" t="s">
        <v>149</v>
      </c>
      <c r="D57" s="150" t="s">
        <v>143</v>
      </c>
      <c r="E57" s="117">
        <v>46</v>
      </c>
      <c r="F57" s="118">
        <f>46-9-2</f>
        <v>35</v>
      </c>
      <c r="G57" s="118">
        <f t="shared" si="14"/>
        <v>24.5</v>
      </c>
      <c r="H57" s="146">
        <v>6</v>
      </c>
      <c r="I57" s="120">
        <f t="shared" si="13"/>
        <v>24.489795918367346</v>
      </c>
      <c r="J57" s="112" t="s">
        <v>150</v>
      </c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</row>
    <row r="58" spans="1:29" ht="24" customHeight="1" x14ac:dyDescent="0.55000000000000004">
      <c r="A58" s="121">
        <v>45</v>
      </c>
      <c r="B58" s="122" t="s">
        <v>89</v>
      </c>
      <c r="C58" s="143" t="s">
        <v>151</v>
      </c>
      <c r="D58" s="150" t="s">
        <v>86</v>
      </c>
      <c r="E58" s="117">
        <v>64</v>
      </c>
      <c r="F58" s="118">
        <f>64-10-3-7</f>
        <v>44</v>
      </c>
      <c r="G58" s="118">
        <f t="shared" si="14"/>
        <v>30.8</v>
      </c>
      <c r="H58" s="145">
        <v>27</v>
      </c>
      <c r="I58" s="120">
        <f t="shared" si="13"/>
        <v>87.662337662337663</v>
      </c>
      <c r="J58" s="112" t="s">
        <v>101</v>
      </c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</row>
    <row r="59" spans="1:29" ht="24" customHeight="1" x14ac:dyDescent="0.55000000000000004">
      <c r="A59" s="121">
        <v>46</v>
      </c>
      <c r="B59" s="178"/>
      <c r="C59" s="160" t="s">
        <v>152</v>
      </c>
      <c r="D59" s="150" t="s">
        <v>86</v>
      </c>
      <c r="E59" s="135">
        <v>100</v>
      </c>
      <c r="F59" s="169">
        <f>100-44</f>
        <v>56</v>
      </c>
      <c r="G59" s="118">
        <f t="shared" si="14"/>
        <v>39.200000000000003</v>
      </c>
      <c r="H59" s="179">
        <v>9</v>
      </c>
      <c r="I59" s="120">
        <f t="shared" si="13"/>
        <v>22.959183673469386</v>
      </c>
      <c r="J59" s="112" t="s">
        <v>97</v>
      </c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</row>
    <row r="60" spans="1:29" ht="24" customHeight="1" x14ac:dyDescent="0.55000000000000004">
      <c r="A60" s="121">
        <v>47</v>
      </c>
      <c r="B60" s="115"/>
      <c r="C60" s="143" t="s">
        <v>153</v>
      </c>
      <c r="D60" s="150" t="s">
        <v>86</v>
      </c>
      <c r="E60" s="117">
        <v>47</v>
      </c>
      <c r="F60" s="118">
        <f>47-2</f>
        <v>45</v>
      </c>
      <c r="G60" s="118">
        <f>(F60*70/100)+1</f>
        <v>32.5</v>
      </c>
      <c r="H60" s="145">
        <v>43</v>
      </c>
      <c r="I60" s="120">
        <f t="shared" si="13"/>
        <v>132.30769230769232</v>
      </c>
      <c r="J60" s="112" t="s">
        <v>154</v>
      </c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</row>
    <row r="61" spans="1:29" ht="24" customHeight="1" x14ac:dyDescent="0.55000000000000004">
      <c r="A61" s="121">
        <v>48</v>
      </c>
      <c r="B61" s="178"/>
      <c r="C61" s="180" t="s">
        <v>155</v>
      </c>
      <c r="D61" s="150" t="s">
        <v>78</v>
      </c>
      <c r="E61" s="135">
        <v>29</v>
      </c>
      <c r="F61" s="169">
        <f>29-6-6</f>
        <v>17</v>
      </c>
      <c r="G61" s="118">
        <f>F61*70/100</f>
        <v>11.9</v>
      </c>
      <c r="H61" s="181">
        <v>6</v>
      </c>
      <c r="I61" s="120">
        <f>H61*100/G61</f>
        <v>50.420168067226889</v>
      </c>
      <c r="J61" s="112" t="s">
        <v>156</v>
      </c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</row>
    <row r="62" spans="1:29" ht="24" customHeight="1" x14ac:dyDescent="0.55000000000000004">
      <c r="A62" s="121"/>
      <c r="B62" s="182" t="s">
        <v>115</v>
      </c>
      <c r="C62" s="182"/>
      <c r="D62" s="183"/>
      <c r="E62" s="184">
        <f t="shared" ref="E62:H62" si="15">SUM(E52:E61)</f>
        <v>428</v>
      </c>
      <c r="F62" s="185">
        <f t="shared" si="15"/>
        <v>275</v>
      </c>
      <c r="G62" s="185">
        <f t="shared" si="15"/>
        <v>194.50000000000003</v>
      </c>
      <c r="H62" s="185">
        <f t="shared" si="15"/>
        <v>112</v>
      </c>
      <c r="I62" s="127">
        <f>H62*100/G62</f>
        <v>57.58354755784061</v>
      </c>
      <c r="J62" s="112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</row>
    <row r="63" spans="1:29" ht="24" customHeight="1" x14ac:dyDescent="0.55000000000000004">
      <c r="A63" s="128"/>
      <c r="B63" s="129" t="s">
        <v>157</v>
      </c>
      <c r="C63" s="130"/>
      <c r="D63" s="167"/>
      <c r="E63" s="111"/>
      <c r="F63" s="132"/>
      <c r="G63" s="132"/>
      <c r="H63" s="132"/>
      <c r="I63" s="111"/>
      <c r="J63" s="112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</row>
    <row r="64" spans="1:29" ht="24" customHeight="1" x14ac:dyDescent="0.55000000000000004">
      <c r="A64" s="121">
        <v>49</v>
      </c>
      <c r="B64" s="143" t="s">
        <v>158</v>
      </c>
      <c r="C64" s="186" t="s">
        <v>159</v>
      </c>
      <c r="D64" s="150" t="s">
        <v>86</v>
      </c>
      <c r="E64" s="135">
        <v>102</v>
      </c>
      <c r="F64" s="169">
        <f>E64-25-2-10</f>
        <v>65</v>
      </c>
      <c r="G64" s="169">
        <f>F64*70/100</f>
        <v>45.5</v>
      </c>
      <c r="H64" s="187">
        <v>22</v>
      </c>
      <c r="I64" s="120">
        <f>H64*100/G64</f>
        <v>48.35164835164835</v>
      </c>
      <c r="J64" s="112" t="s">
        <v>119</v>
      </c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</row>
    <row r="65" spans="1:29" ht="24" customHeight="1" x14ac:dyDescent="0.55000000000000004">
      <c r="A65" s="121">
        <v>50</v>
      </c>
      <c r="B65" s="178"/>
      <c r="C65" s="186" t="s">
        <v>160</v>
      </c>
      <c r="D65" s="150" t="s">
        <v>86</v>
      </c>
      <c r="E65" s="135">
        <f>75+58</f>
        <v>133</v>
      </c>
      <c r="F65" s="169">
        <f>133-28</f>
        <v>105</v>
      </c>
      <c r="G65" s="169">
        <f>(F65*70/100)+1</f>
        <v>74.5</v>
      </c>
      <c r="H65" s="187">
        <f>33+46</f>
        <v>79</v>
      </c>
      <c r="I65" s="120">
        <f t="shared" ref="I65:I69" si="16">H65*100/G65</f>
        <v>106.04026845637584</v>
      </c>
      <c r="J65" s="112" t="s">
        <v>119</v>
      </c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</row>
    <row r="66" spans="1:29" ht="24" customHeight="1" x14ac:dyDescent="0.55000000000000004">
      <c r="A66" s="121">
        <v>51</v>
      </c>
      <c r="B66" s="115"/>
      <c r="C66" s="115" t="s">
        <v>161</v>
      </c>
      <c r="D66" s="150" t="s">
        <v>78</v>
      </c>
      <c r="E66" s="117">
        <v>67</v>
      </c>
      <c r="F66" s="169">
        <f>67-3-3-11</f>
        <v>50</v>
      </c>
      <c r="G66" s="169">
        <f t="shared" ref="G66:G69" si="17">F66*70/100</f>
        <v>35</v>
      </c>
      <c r="H66" s="170">
        <v>20</v>
      </c>
      <c r="I66" s="120">
        <f t="shared" si="16"/>
        <v>57.142857142857146</v>
      </c>
      <c r="J66" s="112" t="s">
        <v>101</v>
      </c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</row>
    <row r="67" spans="1:29" ht="24" customHeight="1" x14ac:dyDescent="0.55000000000000004">
      <c r="A67" s="121">
        <v>52</v>
      </c>
      <c r="B67" s="115"/>
      <c r="C67" s="115" t="s">
        <v>162</v>
      </c>
      <c r="D67" s="150" t="s">
        <v>78</v>
      </c>
      <c r="E67" s="117">
        <v>52</v>
      </c>
      <c r="F67" s="169">
        <f>52-10-4</f>
        <v>38</v>
      </c>
      <c r="G67" s="169">
        <f t="shared" si="17"/>
        <v>26.6</v>
      </c>
      <c r="H67" s="170">
        <v>15</v>
      </c>
      <c r="I67" s="120">
        <f t="shared" si="16"/>
        <v>56.390977443609017</v>
      </c>
      <c r="J67" s="112" t="s">
        <v>101</v>
      </c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</row>
    <row r="68" spans="1:29" ht="24" customHeight="1" x14ac:dyDescent="0.55000000000000004">
      <c r="A68" s="121">
        <v>53</v>
      </c>
      <c r="B68" s="115"/>
      <c r="C68" s="143" t="s">
        <v>163</v>
      </c>
      <c r="D68" s="150" t="s">
        <v>78</v>
      </c>
      <c r="E68" s="117">
        <v>25</v>
      </c>
      <c r="F68" s="169">
        <f>25-6-4</f>
        <v>15</v>
      </c>
      <c r="G68" s="169">
        <f t="shared" si="17"/>
        <v>10.5</v>
      </c>
      <c r="H68" s="170">
        <v>5</v>
      </c>
      <c r="I68" s="120">
        <f t="shared" si="16"/>
        <v>47.61904761904762</v>
      </c>
      <c r="J68" s="112" t="s">
        <v>101</v>
      </c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</row>
    <row r="69" spans="1:29" ht="24" customHeight="1" x14ac:dyDescent="0.55000000000000004">
      <c r="A69" s="121">
        <v>54</v>
      </c>
      <c r="B69" s="115"/>
      <c r="C69" s="115" t="s">
        <v>164</v>
      </c>
      <c r="D69" s="150" t="s">
        <v>78</v>
      </c>
      <c r="E69" s="117">
        <v>41</v>
      </c>
      <c r="F69" s="169">
        <f>41-9-5-1</f>
        <v>26</v>
      </c>
      <c r="G69" s="169">
        <f t="shared" si="17"/>
        <v>18.2</v>
      </c>
      <c r="H69" s="170">
        <v>9</v>
      </c>
      <c r="I69" s="120">
        <f t="shared" si="16"/>
        <v>49.450549450549453</v>
      </c>
      <c r="J69" s="112" t="s">
        <v>119</v>
      </c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</row>
    <row r="70" spans="1:29" ht="24" customHeight="1" x14ac:dyDescent="0.55000000000000004">
      <c r="A70" s="121"/>
      <c r="B70" s="188" t="s">
        <v>115</v>
      </c>
      <c r="C70" s="188"/>
      <c r="D70" s="189"/>
      <c r="E70" s="190">
        <f t="shared" ref="E70:F70" si="18">SUM(E64,E65,E66:E69)</f>
        <v>420</v>
      </c>
      <c r="F70" s="191">
        <f t="shared" si="18"/>
        <v>299</v>
      </c>
      <c r="G70" s="191">
        <f t="shared" ref="G70:H70" si="19">SUM(G64:G69)</f>
        <v>210.29999999999998</v>
      </c>
      <c r="H70" s="191">
        <f t="shared" si="19"/>
        <v>150</v>
      </c>
      <c r="I70" s="192">
        <f>H70*100/G70</f>
        <v>71.32667617689016</v>
      </c>
      <c r="J70" s="112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</row>
    <row r="71" spans="1:29" ht="24" customHeight="1" x14ac:dyDescent="0.55000000000000004">
      <c r="A71" s="128"/>
      <c r="B71" s="177" t="s">
        <v>165</v>
      </c>
      <c r="C71" s="130"/>
      <c r="D71" s="157"/>
      <c r="E71" s="111"/>
      <c r="F71" s="132"/>
      <c r="G71" s="132"/>
      <c r="H71" s="132"/>
      <c r="I71" s="111"/>
      <c r="J71" s="112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</row>
    <row r="72" spans="1:29" ht="24" customHeight="1" x14ac:dyDescent="0.55000000000000004">
      <c r="A72" s="121">
        <v>55</v>
      </c>
      <c r="B72" s="115" t="s">
        <v>166</v>
      </c>
      <c r="C72" s="115" t="s">
        <v>167</v>
      </c>
      <c r="D72" s="150" t="s">
        <v>78</v>
      </c>
      <c r="E72" s="117">
        <v>34</v>
      </c>
      <c r="F72" s="118">
        <f>34-14-2-1</f>
        <v>17</v>
      </c>
      <c r="G72" s="118">
        <f t="shared" ref="G72:G73" si="20">F72*70/100</f>
        <v>11.9</v>
      </c>
      <c r="H72" s="145">
        <v>22</v>
      </c>
      <c r="I72" s="120">
        <f t="shared" ref="I72:I76" si="21">H72*100/G72</f>
        <v>184.87394957983193</v>
      </c>
      <c r="J72" s="112" t="s">
        <v>101</v>
      </c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</row>
    <row r="73" spans="1:29" ht="24" customHeight="1" x14ac:dyDescent="0.55000000000000004">
      <c r="A73" s="121">
        <v>56</v>
      </c>
      <c r="B73" s="115"/>
      <c r="C73" s="193" t="s">
        <v>168</v>
      </c>
      <c r="D73" s="150" t="s">
        <v>78</v>
      </c>
      <c r="E73" s="117">
        <v>32</v>
      </c>
      <c r="F73" s="118">
        <f>E73-13-10-1-2</f>
        <v>6</v>
      </c>
      <c r="G73" s="118">
        <f t="shared" si="20"/>
        <v>4.2</v>
      </c>
      <c r="H73" s="145">
        <v>18</v>
      </c>
      <c r="I73" s="120">
        <f t="shared" si="21"/>
        <v>428.57142857142856</v>
      </c>
      <c r="J73" s="112" t="s">
        <v>101</v>
      </c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</row>
    <row r="74" spans="1:29" ht="24" customHeight="1" x14ac:dyDescent="0.55000000000000004">
      <c r="A74" s="121">
        <v>57</v>
      </c>
      <c r="B74" s="115" t="s">
        <v>89</v>
      </c>
      <c r="C74" s="143" t="s">
        <v>169</v>
      </c>
      <c r="D74" s="150" t="s">
        <v>78</v>
      </c>
      <c r="E74" s="117">
        <v>74</v>
      </c>
      <c r="F74" s="118">
        <f>74-12-18-4-3</f>
        <v>37</v>
      </c>
      <c r="G74" s="118">
        <f t="shared" ref="G74:G75" si="22">(F74*70/100)+1</f>
        <v>26.9</v>
      </c>
      <c r="H74" s="145">
        <v>23</v>
      </c>
      <c r="I74" s="120">
        <f t="shared" si="21"/>
        <v>85.501858736059489</v>
      </c>
      <c r="J74" s="112" t="s">
        <v>101</v>
      </c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</row>
    <row r="75" spans="1:29" ht="37.5" customHeight="1" x14ac:dyDescent="0.55000000000000004">
      <c r="A75" s="121">
        <v>58</v>
      </c>
      <c r="B75" s="115" t="s">
        <v>166</v>
      </c>
      <c r="C75" s="143" t="s">
        <v>170</v>
      </c>
      <c r="D75" s="115" t="s">
        <v>171</v>
      </c>
      <c r="E75" s="117">
        <v>36</v>
      </c>
      <c r="F75" s="118">
        <f>36-1</f>
        <v>35</v>
      </c>
      <c r="G75" s="118">
        <f t="shared" si="22"/>
        <v>25.5</v>
      </c>
      <c r="H75" s="145">
        <v>34</v>
      </c>
      <c r="I75" s="120">
        <f t="shared" si="21"/>
        <v>133.33333333333334</v>
      </c>
      <c r="J75" s="112" t="s">
        <v>101</v>
      </c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</row>
    <row r="76" spans="1:29" ht="24" customHeight="1" x14ac:dyDescent="0.55000000000000004">
      <c r="A76" s="121">
        <v>59</v>
      </c>
      <c r="B76" s="115" t="s">
        <v>166</v>
      </c>
      <c r="C76" s="143" t="s">
        <v>172</v>
      </c>
      <c r="D76" s="115" t="s">
        <v>91</v>
      </c>
      <c r="E76" s="117">
        <v>101</v>
      </c>
      <c r="F76" s="118">
        <f>101-14-6-10</f>
        <v>71</v>
      </c>
      <c r="G76" s="118">
        <f>(F76*70/100)+3+2</f>
        <v>54.7</v>
      </c>
      <c r="H76" s="145">
        <v>51</v>
      </c>
      <c r="I76" s="120">
        <f t="shared" si="21"/>
        <v>93.235831809872025</v>
      </c>
      <c r="J76" s="112" t="s">
        <v>150</v>
      </c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</row>
    <row r="77" spans="1:29" ht="24" customHeight="1" x14ac:dyDescent="0.55000000000000004">
      <c r="A77" s="121"/>
      <c r="B77" s="173" t="s">
        <v>115</v>
      </c>
      <c r="C77" s="173"/>
      <c r="D77" s="174"/>
      <c r="E77" s="175">
        <f t="shared" ref="E77:H77" si="23">SUM(E72:E76)</f>
        <v>277</v>
      </c>
      <c r="F77" s="176">
        <f t="shared" si="23"/>
        <v>166</v>
      </c>
      <c r="G77" s="176">
        <f t="shared" si="23"/>
        <v>123.2</v>
      </c>
      <c r="H77" s="176">
        <f t="shared" si="23"/>
        <v>148</v>
      </c>
      <c r="I77" s="127">
        <f>H77*100/G77</f>
        <v>120.12987012987013</v>
      </c>
      <c r="J77" s="112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</row>
    <row r="78" spans="1:29" ht="24" customHeight="1" x14ac:dyDescent="0.55000000000000004">
      <c r="A78" s="128"/>
      <c r="B78" s="129" t="s">
        <v>173</v>
      </c>
      <c r="C78" s="130"/>
      <c r="D78" s="157"/>
      <c r="E78" s="111"/>
      <c r="F78" s="132"/>
      <c r="G78" s="132"/>
      <c r="H78" s="132"/>
      <c r="I78" s="111"/>
      <c r="J78" s="112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</row>
    <row r="79" spans="1:29" ht="24" customHeight="1" x14ac:dyDescent="0.55000000000000004">
      <c r="A79" s="121">
        <v>60</v>
      </c>
      <c r="B79" s="122" t="s">
        <v>174</v>
      </c>
      <c r="C79" s="115" t="s">
        <v>175</v>
      </c>
      <c r="D79" s="116" t="s">
        <v>176</v>
      </c>
      <c r="E79" s="117">
        <v>130</v>
      </c>
      <c r="F79" s="118">
        <f>130-5-5</f>
        <v>120</v>
      </c>
      <c r="G79" s="118">
        <f>(F79*70/100)+1</f>
        <v>85</v>
      </c>
      <c r="H79" s="118">
        <v>116</v>
      </c>
      <c r="I79" s="120">
        <f>H79*100/G79</f>
        <v>136.47058823529412</v>
      </c>
      <c r="J79" s="112" t="s">
        <v>114</v>
      </c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</row>
    <row r="80" spans="1:29" ht="24" customHeight="1" x14ac:dyDescent="0.55000000000000004">
      <c r="A80" s="121"/>
      <c r="B80" s="194" t="s">
        <v>115</v>
      </c>
      <c r="C80" s="194"/>
      <c r="D80" s="195"/>
      <c r="E80" s="196">
        <f t="shared" ref="E80:F80" si="24">E79</f>
        <v>130</v>
      </c>
      <c r="F80" s="197">
        <f t="shared" si="24"/>
        <v>120</v>
      </c>
      <c r="G80" s="197">
        <f t="shared" ref="G80:H80" si="25">SUM(G79)</f>
        <v>85</v>
      </c>
      <c r="H80" s="197">
        <f t="shared" si="25"/>
        <v>116</v>
      </c>
      <c r="I80" s="127">
        <f>H80*100/G80</f>
        <v>136.47058823529412</v>
      </c>
      <c r="J80" s="112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</row>
    <row r="81" spans="1:29" ht="24" customHeight="1" x14ac:dyDescent="0.55000000000000004">
      <c r="A81" s="128"/>
      <c r="B81" s="129" t="s">
        <v>177</v>
      </c>
      <c r="C81" s="130"/>
      <c r="D81" s="157"/>
      <c r="E81" s="111"/>
      <c r="F81" s="132"/>
      <c r="G81" s="132"/>
      <c r="H81" s="132"/>
      <c r="I81" s="111"/>
      <c r="J81" s="112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</row>
    <row r="82" spans="1:29" ht="24" customHeight="1" x14ac:dyDescent="0.55000000000000004">
      <c r="A82" s="121">
        <v>61</v>
      </c>
      <c r="B82" s="122" t="s">
        <v>178</v>
      </c>
      <c r="C82" s="143" t="s">
        <v>179</v>
      </c>
      <c r="D82" s="150" t="s">
        <v>78</v>
      </c>
      <c r="E82" s="117">
        <v>83</v>
      </c>
      <c r="F82" s="118">
        <f>83-11-8-3</f>
        <v>61</v>
      </c>
      <c r="G82" s="118">
        <f>(F82*70/100)-1</f>
        <v>41.7</v>
      </c>
      <c r="H82" s="145">
        <v>59</v>
      </c>
      <c r="I82" s="120">
        <f>H82*100/G82</f>
        <v>141.48681055155873</v>
      </c>
      <c r="J82" s="112" t="s">
        <v>114</v>
      </c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</row>
    <row r="83" spans="1:29" ht="24" customHeight="1" x14ac:dyDescent="0.55000000000000004">
      <c r="A83" s="121">
        <v>62</v>
      </c>
      <c r="B83" s="115" t="s">
        <v>89</v>
      </c>
      <c r="C83" s="143" t="s">
        <v>180</v>
      </c>
      <c r="D83" s="115" t="s">
        <v>91</v>
      </c>
      <c r="E83" s="117">
        <f>12+8+18</f>
        <v>38</v>
      </c>
      <c r="F83" s="118">
        <f>E83-5</f>
        <v>33</v>
      </c>
      <c r="G83" s="118">
        <f t="shared" ref="G83:G85" si="26">F83*70/100</f>
        <v>23.1</v>
      </c>
      <c r="H83" s="145">
        <v>30</v>
      </c>
      <c r="I83" s="120">
        <f t="shared" ref="I83:I85" si="27">H83*100/G83</f>
        <v>129.87012987012986</v>
      </c>
      <c r="J83" s="112" t="s">
        <v>114</v>
      </c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</row>
    <row r="84" spans="1:29" ht="24" customHeight="1" x14ac:dyDescent="0.55000000000000004">
      <c r="A84" s="121">
        <v>63</v>
      </c>
      <c r="B84" s="115" t="s">
        <v>89</v>
      </c>
      <c r="C84" s="115" t="s">
        <v>181</v>
      </c>
      <c r="D84" s="150" t="s">
        <v>112</v>
      </c>
      <c r="E84" s="121">
        <v>13</v>
      </c>
      <c r="F84" s="118">
        <f>E84-2</f>
        <v>11</v>
      </c>
      <c r="G84" s="118">
        <f t="shared" si="26"/>
        <v>7.7</v>
      </c>
      <c r="H84" s="145">
        <v>11</v>
      </c>
      <c r="I84" s="120">
        <f t="shared" si="27"/>
        <v>142.85714285714286</v>
      </c>
      <c r="J84" s="112" t="s">
        <v>114</v>
      </c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</row>
    <row r="85" spans="1:29" ht="24" customHeight="1" x14ac:dyDescent="0.55000000000000004">
      <c r="A85" s="121">
        <v>64</v>
      </c>
      <c r="B85" s="122" t="s">
        <v>182</v>
      </c>
      <c r="C85" s="143" t="s">
        <v>183</v>
      </c>
      <c r="D85" s="150" t="s">
        <v>78</v>
      </c>
      <c r="E85" s="117">
        <v>55</v>
      </c>
      <c r="F85" s="118">
        <f>55-1-8</f>
        <v>46</v>
      </c>
      <c r="G85" s="118">
        <f t="shared" si="26"/>
        <v>32.200000000000003</v>
      </c>
      <c r="H85" s="145">
        <v>46</v>
      </c>
      <c r="I85" s="120">
        <f t="shared" si="27"/>
        <v>142.85714285714283</v>
      </c>
      <c r="J85" s="112" t="s">
        <v>114</v>
      </c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</row>
    <row r="86" spans="1:29" ht="24" customHeight="1" x14ac:dyDescent="0.55000000000000004">
      <c r="A86" s="121"/>
      <c r="B86" s="198" t="s">
        <v>115</v>
      </c>
      <c r="C86" s="198"/>
      <c r="D86" s="199"/>
      <c r="E86" s="200">
        <f t="shared" ref="E86:H86" si="28">SUM(E82:E85)</f>
        <v>189</v>
      </c>
      <c r="F86" s="200">
        <f t="shared" si="28"/>
        <v>151</v>
      </c>
      <c r="G86" s="200">
        <f t="shared" si="28"/>
        <v>104.70000000000002</v>
      </c>
      <c r="H86" s="200">
        <f t="shared" si="28"/>
        <v>146</v>
      </c>
      <c r="I86" s="127">
        <f>H86*100/G86</f>
        <v>139.44603629417381</v>
      </c>
      <c r="J86" s="112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</row>
    <row r="87" spans="1:29" ht="24" customHeight="1" x14ac:dyDescent="0.55000000000000004">
      <c r="A87" s="128"/>
      <c r="B87" s="129" t="s">
        <v>184</v>
      </c>
      <c r="C87" s="130"/>
      <c r="D87" s="157"/>
      <c r="E87" s="111"/>
      <c r="F87" s="132"/>
      <c r="G87" s="132"/>
      <c r="H87" s="132"/>
      <c r="I87" s="111"/>
      <c r="J87" s="112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</row>
    <row r="88" spans="1:29" ht="24" customHeight="1" x14ac:dyDescent="0.55000000000000004">
      <c r="A88" s="121">
        <v>65</v>
      </c>
      <c r="B88" s="115" t="s">
        <v>166</v>
      </c>
      <c r="C88" s="193" t="s">
        <v>185</v>
      </c>
      <c r="D88" s="115" t="s">
        <v>91</v>
      </c>
      <c r="E88" s="117">
        <v>338</v>
      </c>
      <c r="F88" s="118">
        <f>E88-59</f>
        <v>279</v>
      </c>
      <c r="G88" s="118">
        <f>F88*70/100</f>
        <v>195.3</v>
      </c>
      <c r="H88" s="145">
        <v>266</v>
      </c>
      <c r="I88" s="120">
        <f t="shared" ref="I88:I89" si="29">H88*100/G88</f>
        <v>136.20071684587813</v>
      </c>
      <c r="J88" s="112" t="s">
        <v>154</v>
      </c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</row>
    <row r="89" spans="1:29" ht="24" customHeight="1" x14ac:dyDescent="0.55000000000000004">
      <c r="A89" s="121">
        <v>66</v>
      </c>
      <c r="B89" s="115"/>
      <c r="C89" s="193" t="s">
        <v>186</v>
      </c>
      <c r="D89" s="115" t="s">
        <v>91</v>
      </c>
      <c r="E89" s="117">
        <v>449</v>
      </c>
      <c r="F89" s="118">
        <f>E89-72</f>
        <v>377</v>
      </c>
      <c r="G89" s="118">
        <f>(F89*70/100)+1</f>
        <v>264.89999999999998</v>
      </c>
      <c r="H89" s="145">
        <v>355</v>
      </c>
      <c r="I89" s="120">
        <f t="shared" si="29"/>
        <v>134.01283503208759</v>
      </c>
      <c r="J89" s="112" t="s">
        <v>154</v>
      </c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</row>
    <row r="90" spans="1:29" ht="24" customHeight="1" x14ac:dyDescent="0.55000000000000004">
      <c r="A90" s="121">
        <v>67</v>
      </c>
      <c r="B90" s="115"/>
      <c r="C90" s="193" t="s">
        <v>187</v>
      </c>
      <c r="D90" s="115" t="s">
        <v>91</v>
      </c>
      <c r="E90" s="117">
        <v>2</v>
      </c>
      <c r="F90" s="118">
        <f>E90-1-1</f>
        <v>0</v>
      </c>
      <c r="G90" s="118">
        <f>F90*70/100</f>
        <v>0</v>
      </c>
      <c r="H90" s="146"/>
      <c r="I90" s="120" t="e">
        <f>H90*100/G90</f>
        <v>#DIV/0!</v>
      </c>
      <c r="J90" s="112" t="s">
        <v>154</v>
      </c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</row>
    <row r="91" spans="1:29" ht="24" customHeight="1" x14ac:dyDescent="0.55000000000000004">
      <c r="A91" s="121"/>
      <c r="B91" s="201" t="s">
        <v>115</v>
      </c>
      <c r="C91" s="201"/>
      <c r="D91" s="202"/>
      <c r="E91" s="203">
        <f t="shared" ref="E91:H91" si="30">SUM(E88:E90)</f>
        <v>789</v>
      </c>
      <c r="F91" s="204">
        <f t="shared" si="30"/>
        <v>656</v>
      </c>
      <c r="G91" s="204">
        <f t="shared" si="30"/>
        <v>460.2</v>
      </c>
      <c r="H91" s="204">
        <f t="shared" si="30"/>
        <v>621</v>
      </c>
      <c r="I91" s="127">
        <f>H91*100/G91</f>
        <v>134.9413298565841</v>
      </c>
      <c r="J91" s="112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</row>
    <row r="92" spans="1:29" ht="24" customHeight="1" x14ac:dyDescent="0.55000000000000004">
      <c r="A92" s="128"/>
      <c r="B92" s="129" t="s">
        <v>188</v>
      </c>
      <c r="C92" s="130"/>
      <c r="D92" s="157"/>
      <c r="E92" s="205"/>
      <c r="F92" s="206"/>
      <c r="G92" s="206"/>
      <c r="H92" s="206"/>
      <c r="I92" s="111"/>
      <c r="J92" s="112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</row>
    <row r="93" spans="1:29" ht="24" customHeight="1" x14ac:dyDescent="0.55000000000000004">
      <c r="A93" s="207">
        <v>68</v>
      </c>
      <c r="B93" s="122" t="s">
        <v>189</v>
      </c>
      <c r="C93" s="122" t="s">
        <v>190</v>
      </c>
      <c r="D93" s="208" t="s">
        <v>191</v>
      </c>
      <c r="E93" s="209">
        <v>77</v>
      </c>
      <c r="F93" s="210">
        <f>E93-12-4-5</f>
        <v>56</v>
      </c>
      <c r="G93" s="148">
        <f t="shared" ref="G93:G94" si="31">F93*70/100</f>
        <v>39.200000000000003</v>
      </c>
      <c r="H93" s="148">
        <v>26</v>
      </c>
      <c r="I93" s="120">
        <f>H93*100/G93</f>
        <v>66.326530612244895</v>
      </c>
      <c r="J93" s="112" t="s">
        <v>101</v>
      </c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</row>
    <row r="94" spans="1:29" ht="24" customHeight="1" x14ac:dyDescent="0.55000000000000004">
      <c r="A94" s="211"/>
      <c r="B94" s="212" t="s">
        <v>115</v>
      </c>
      <c r="C94" s="20"/>
      <c r="D94" s="21"/>
      <c r="E94" s="213">
        <f t="shared" ref="E94:F94" si="32">SUM(E93)</f>
        <v>77</v>
      </c>
      <c r="F94" s="214">
        <f t="shared" si="32"/>
        <v>56</v>
      </c>
      <c r="G94" s="215">
        <f t="shared" si="31"/>
        <v>39.200000000000003</v>
      </c>
      <c r="H94" s="216">
        <f>SUM(H93)</f>
        <v>26</v>
      </c>
      <c r="I94" s="127">
        <f>H94*100/G94</f>
        <v>66.326530612244895</v>
      </c>
      <c r="J94" s="112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</row>
    <row r="95" spans="1:29" ht="24" customHeight="1" x14ac:dyDescent="0.55000000000000004">
      <c r="A95" s="128"/>
      <c r="B95" s="129" t="s">
        <v>192</v>
      </c>
      <c r="C95" s="130"/>
      <c r="D95" s="157"/>
      <c r="E95" s="111"/>
      <c r="F95" s="132"/>
      <c r="G95" s="132"/>
      <c r="H95" s="132"/>
      <c r="I95" s="111"/>
      <c r="J95" s="112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</row>
    <row r="96" spans="1:29" ht="24" customHeight="1" x14ac:dyDescent="0.55000000000000004">
      <c r="A96" s="121">
        <v>69</v>
      </c>
      <c r="B96" s="115" t="s">
        <v>193</v>
      </c>
      <c r="C96" s="115" t="s">
        <v>194</v>
      </c>
      <c r="D96" s="115" t="s">
        <v>91</v>
      </c>
      <c r="E96" s="117">
        <v>150</v>
      </c>
      <c r="F96" s="118">
        <f>E96-19-8-27</f>
        <v>96</v>
      </c>
      <c r="G96" s="118">
        <f t="shared" ref="G96:G99" si="33">F96*70/100</f>
        <v>67.2</v>
      </c>
      <c r="H96" s="145">
        <v>71</v>
      </c>
      <c r="I96" s="120">
        <f>H96*100/G96</f>
        <v>105.6547619047619</v>
      </c>
      <c r="J96" s="112" t="s">
        <v>119</v>
      </c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</row>
    <row r="97" spans="1:29" ht="24" customHeight="1" x14ac:dyDescent="0.55000000000000004">
      <c r="A97" s="121">
        <v>70</v>
      </c>
      <c r="B97" s="115" t="s">
        <v>195</v>
      </c>
      <c r="C97" s="160" t="s">
        <v>196</v>
      </c>
      <c r="D97" s="115" t="s">
        <v>91</v>
      </c>
      <c r="E97" s="135">
        <v>277</v>
      </c>
      <c r="F97" s="169">
        <f>E97-45</f>
        <v>232</v>
      </c>
      <c r="G97" s="118">
        <f t="shared" si="33"/>
        <v>162.4</v>
      </c>
      <c r="H97" s="145">
        <v>224</v>
      </c>
      <c r="I97" s="120">
        <f t="shared" ref="I97:I99" si="34">H97*100/G97</f>
        <v>137.93103448275861</v>
      </c>
      <c r="J97" s="112" t="s">
        <v>119</v>
      </c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</row>
    <row r="98" spans="1:29" ht="24" customHeight="1" x14ac:dyDescent="0.55000000000000004">
      <c r="A98" s="121">
        <v>71</v>
      </c>
      <c r="B98" s="178"/>
      <c r="C98" s="180" t="s">
        <v>197</v>
      </c>
      <c r="D98" s="208" t="s">
        <v>191</v>
      </c>
      <c r="E98" s="135">
        <v>101</v>
      </c>
      <c r="F98" s="169">
        <f>E98-20-5-6</f>
        <v>70</v>
      </c>
      <c r="G98" s="118">
        <f t="shared" si="33"/>
        <v>49</v>
      </c>
      <c r="H98" s="179">
        <v>56</v>
      </c>
      <c r="I98" s="120">
        <f t="shared" si="34"/>
        <v>114.28571428571429</v>
      </c>
      <c r="J98" s="112" t="s">
        <v>119</v>
      </c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</row>
    <row r="99" spans="1:29" ht="25.5" customHeight="1" x14ac:dyDescent="0.55000000000000004">
      <c r="A99" s="121">
        <v>72</v>
      </c>
      <c r="B99" s="115" t="s">
        <v>198</v>
      </c>
      <c r="C99" s="143" t="s">
        <v>199</v>
      </c>
      <c r="D99" s="115" t="s">
        <v>200</v>
      </c>
      <c r="E99" s="117">
        <v>266</v>
      </c>
      <c r="F99" s="118">
        <f>266-45</f>
        <v>221</v>
      </c>
      <c r="G99" s="118">
        <f t="shared" si="33"/>
        <v>154.69999999999999</v>
      </c>
      <c r="H99" s="145">
        <v>211</v>
      </c>
      <c r="I99" s="120">
        <f t="shared" si="34"/>
        <v>136.39301874595992</v>
      </c>
      <c r="J99" s="112" t="s">
        <v>119</v>
      </c>
      <c r="K99" s="217" t="s">
        <v>201</v>
      </c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</row>
    <row r="100" spans="1:29" ht="24" customHeight="1" x14ac:dyDescent="0.55000000000000004">
      <c r="A100" s="121"/>
      <c r="B100" s="173" t="s">
        <v>115</v>
      </c>
      <c r="C100" s="173"/>
      <c r="D100" s="174"/>
      <c r="E100" s="218">
        <f t="shared" ref="E100:H100" si="35">SUM(E96:E99)</f>
        <v>794</v>
      </c>
      <c r="F100" s="219">
        <f t="shared" si="35"/>
        <v>619</v>
      </c>
      <c r="G100" s="219">
        <f t="shared" si="35"/>
        <v>433.3</v>
      </c>
      <c r="H100" s="219">
        <f t="shared" si="35"/>
        <v>562</v>
      </c>
      <c r="I100" s="127">
        <f>H100*100/G100</f>
        <v>129.70228479113777</v>
      </c>
      <c r="J100" s="112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</row>
    <row r="101" spans="1:29" ht="24" customHeight="1" x14ac:dyDescent="0.55000000000000004">
      <c r="A101" s="128"/>
      <c r="B101" s="177" t="s">
        <v>202</v>
      </c>
      <c r="C101" s="130"/>
      <c r="D101" s="157"/>
      <c r="E101" s="111"/>
      <c r="F101" s="220"/>
      <c r="G101" s="220"/>
      <c r="H101" s="220"/>
      <c r="I101" s="221"/>
      <c r="J101" s="112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</row>
    <row r="102" spans="1:29" ht="24" customHeight="1" x14ac:dyDescent="0.55000000000000004">
      <c r="A102" s="121">
        <v>73</v>
      </c>
      <c r="B102" s="115" t="s">
        <v>120</v>
      </c>
      <c r="C102" s="143" t="s">
        <v>203</v>
      </c>
      <c r="D102" s="115" t="s">
        <v>91</v>
      </c>
      <c r="E102" s="117">
        <v>178</v>
      </c>
      <c r="F102" s="118">
        <f>E102-10-8-4</f>
        <v>156</v>
      </c>
      <c r="G102" s="118">
        <f>(F102*70/100)+7</f>
        <v>116.2</v>
      </c>
      <c r="H102" s="145">
        <v>140</v>
      </c>
      <c r="I102" s="120">
        <f t="shared" ref="I102:I107" si="36">H102*100/G102</f>
        <v>120.48192771084337</v>
      </c>
      <c r="J102" s="112" t="s">
        <v>204</v>
      </c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</row>
    <row r="103" spans="1:29" ht="24" customHeight="1" x14ac:dyDescent="0.55000000000000004">
      <c r="A103" s="121">
        <v>74</v>
      </c>
      <c r="B103" s="115"/>
      <c r="C103" s="122" t="s">
        <v>205</v>
      </c>
      <c r="D103" s="115" t="s">
        <v>91</v>
      </c>
      <c r="E103" s="117">
        <v>289</v>
      </c>
      <c r="F103" s="118">
        <f>E103-36</f>
        <v>253</v>
      </c>
      <c r="G103" s="118">
        <f>(F103*70/100)+9</f>
        <v>186.1</v>
      </c>
      <c r="H103" s="145">
        <v>204</v>
      </c>
      <c r="I103" s="120">
        <f t="shared" si="36"/>
        <v>109.61848468565287</v>
      </c>
      <c r="J103" s="112" t="s">
        <v>204</v>
      </c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</row>
    <row r="104" spans="1:29" ht="24" customHeight="1" x14ac:dyDescent="0.55000000000000004">
      <c r="A104" s="121">
        <v>75</v>
      </c>
      <c r="B104" s="115"/>
      <c r="C104" s="122" t="s">
        <v>206</v>
      </c>
      <c r="D104" s="150" t="s">
        <v>78</v>
      </c>
      <c r="E104" s="117">
        <v>175</v>
      </c>
      <c r="F104" s="118">
        <f>E104-44-4</f>
        <v>127</v>
      </c>
      <c r="G104" s="118">
        <f>(F104*70/100)+7</f>
        <v>95.9</v>
      </c>
      <c r="H104" s="145">
        <v>81</v>
      </c>
      <c r="I104" s="120">
        <f t="shared" si="36"/>
        <v>84.462982273201249</v>
      </c>
      <c r="J104" s="112" t="s">
        <v>154</v>
      </c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</row>
    <row r="105" spans="1:29" ht="24" customHeight="1" x14ac:dyDescent="0.55000000000000004">
      <c r="A105" s="121">
        <v>76</v>
      </c>
      <c r="B105" s="115"/>
      <c r="C105" s="122" t="s">
        <v>207</v>
      </c>
      <c r="D105" s="150" t="s">
        <v>78</v>
      </c>
      <c r="E105" s="117">
        <v>19</v>
      </c>
      <c r="F105" s="118">
        <f>E105-2</f>
        <v>17</v>
      </c>
      <c r="G105" s="118">
        <f t="shared" ref="G105:G107" si="37">F105*70/100</f>
        <v>11.9</v>
      </c>
      <c r="H105" s="145">
        <v>13</v>
      </c>
      <c r="I105" s="120">
        <f t="shared" si="36"/>
        <v>109.24369747899159</v>
      </c>
      <c r="J105" s="112" t="s">
        <v>204</v>
      </c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</row>
    <row r="106" spans="1:29" ht="24" customHeight="1" x14ac:dyDescent="0.55000000000000004">
      <c r="A106" s="121">
        <v>77</v>
      </c>
      <c r="B106" s="115"/>
      <c r="C106" s="122" t="s">
        <v>208</v>
      </c>
      <c r="D106" s="150" t="s">
        <v>143</v>
      </c>
      <c r="E106" s="117">
        <v>25</v>
      </c>
      <c r="F106" s="118">
        <f>E106-13</f>
        <v>12</v>
      </c>
      <c r="G106" s="118">
        <f t="shared" si="37"/>
        <v>8.4</v>
      </c>
      <c r="H106" s="145">
        <v>4</v>
      </c>
      <c r="I106" s="120">
        <f t="shared" si="36"/>
        <v>47.61904761904762</v>
      </c>
      <c r="J106" s="112" t="s">
        <v>204</v>
      </c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</row>
    <row r="107" spans="1:29" ht="24" customHeight="1" x14ac:dyDescent="0.55000000000000004">
      <c r="A107" s="121">
        <v>78</v>
      </c>
      <c r="B107" s="115"/>
      <c r="C107" s="122" t="s">
        <v>209</v>
      </c>
      <c r="D107" s="150" t="s">
        <v>86</v>
      </c>
      <c r="E107" s="117">
        <v>21</v>
      </c>
      <c r="F107" s="118">
        <f>E107-1-4-2-2</f>
        <v>12</v>
      </c>
      <c r="G107" s="118">
        <f t="shared" si="37"/>
        <v>8.4</v>
      </c>
      <c r="H107" s="145">
        <v>2</v>
      </c>
      <c r="I107" s="120">
        <f t="shared" si="36"/>
        <v>23.80952380952381</v>
      </c>
      <c r="J107" s="112" t="s">
        <v>92</v>
      </c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</row>
    <row r="108" spans="1:29" ht="24" customHeight="1" x14ac:dyDescent="0.55000000000000004">
      <c r="A108" s="121"/>
      <c r="B108" s="222" t="s">
        <v>115</v>
      </c>
      <c r="C108" s="222"/>
      <c r="D108" s="223"/>
      <c r="E108" s="224">
        <f t="shared" ref="E108:H108" si="38">SUM(E102:E107)</f>
        <v>707</v>
      </c>
      <c r="F108" s="225">
        <f t="shared" si="38"/>
        <v>577</v>
      </c>
      <c r="G108" s="225">
        <f t="shared" si="38"/>
        <v>426.9</v>
      </c>
      <c r="H108" s="225">
        <f t="shared" si="38"/>
        <v>444</v>
      </c>
      <c r="I108" s="226">
        <f>H108*100/G108</f>
        <v>104.00562192550949</v>
      </c>
      <c r="J108" s="112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</row>
    <row r="109" spans="1:29" ht="24" customHeight="1" x14ac:dyDescent="0.55000000000000004">
      <c r="A109" s="128"/>
      <c r="B109" s="129" t="s">
        <v>210</v>
      </c>
      <c r="C109" s="130"/>
      <c r="D109" s="157"/>
      <c r="E109" s="111"/>
      <c r="F109" s="132"/>
      <c r="G109" s="132"/>
      <c r="H109" s="132"/>
      <c r="I109" s="111"/>
      <c r="J109" s="112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</row>
    <row r="110" spans="1:29" ht="24" customHeight="1" x14ac:dyDescent="0.55000000000000004">
      <c r="A110" s="227">
        <v>79</v>
      </c>
      <c r="B110" s="115" t="s">
        <v>211</v>
      </c>
      <c r="C110" s="122" t="s">
        <v>64</v>
      </c>
      <c r="D110" s="150" t="s">
        <v>78</v>
      </c>
      <c r="E110" s="172">
        <v>754</v>
      </c>
      <c r="F110" s="228">
        <f>E110-71-32-56</f>
        <v>595</v>
      </c>
      <c r="G110" s="158">
        <f>(F110*70/100)+1</f>
        <v>417.5</v>
      </c>
      <c r="H110" s="229">
        <v>484</v>
      </c>
      <c r="I110" s="120">
        <f t="shared" ref="I110:I112" si="39">H110*100/G110</f>
        <v>115.92814371257485</v>
      </c>
      <c r="J110" s="112" t="s">
        <v>92</v>
      </c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</row>
    <row r="111" spans="1:29" ht="24" customHeight="1" x14ac:dyDescent="0.55000000000000004">
      <c r="A111" s="227">
        <v>80</v>
      </c>
      <c r="B111" s="115" t="s">
        <v>212</v>
      </c>
      <c r="C111" s="122" t="s">
        <v>213</v>
      </c>
      <c r="D111" s="122" t="s">
        <v>214</v>
      </c>
      <c r="E111" s="172">
        <v>31</v>
      </c>
      <c r="F111" s="228">
        <f>E111-9</f>
        <v>22</v>
      </c>
      <c r="G111" s="158">
        <f t="shared" ref="G111:G112" si="40">F111*70/100</f>
        <v>15.4</v>
      </c>
      <c r="H111" s="230"/>
      <c r="I111" s="120">
        <f t="shared" si="39"/>
        <v>0</v>
      </c>
      <c r="J111" s="112" t="s">
        <v>92</v>
      </c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</row>
    <row r="112" spans="1:29" ht="24" customHeight="1" x14ac:dyDescent="0.55000000000000004">
      <c r="A112" s="227">
        <v>81</v>
      </c>
      <c r="B112" s="115"/>
      <c r="C112" s="122" t="s">
        <v>215</v>
      </c>
      <c r="D112" s="122" t="s">
        <v>216</v>
      </c>
      <c r="E112" s="172">
        <v>16</v>
      </c>
      <c r="F112" s="228">
        <f>E112-6</f>
        <v>10</v>
      </c>
      <c r="G112" s="158">
        <f t="shared" si="40"/>
        <v>7</v>
      </c>
      <c r="H112" s="229">
        <v>4</v>
      </c>
      <c r="I112" s="120">
        <f t="shared" si="39"/>
        <v>57.142857142857146</v>
      </c>
      <c r="J112" s="112" t="s">
        <v>92</v>
      </c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</row>
    <row r="113" spans="1:29" ht="24" customHeight="1" x14ac:dyDescent="0.55000000000000004">
      <c r="A113" s="121"/>
      <c r="B113" s="173" t="s">
        <v>115</v>
      </c>
      <c r="C113" s="173"/>
      <c r="D113" s="174"/>
      <c r="E113" s="175">
        <f t="shared" ref="E113:H113" si="41">SUM(E110:E112)</f>
        <v>801</v>
      </c>
      <c r="F113" s="176">
        <f t="shared" si="41"/>
        <v>627</v>
      </c>
      <c r="G113" s="231">
        <f t="shared" si="41"/>
        <v>439.9</v>
      </c>
      <c r="H113" s="232">
        <f t="shared" si="41"/>
        <v>488</v>
      </c>
      <c r="I113" s="233">
        <f>H113*100/G113</f>
        <v>110.93430325073881</v>
      </c>
      <c r="J113" s="234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</row>
    <row r="114" spans="1:29" ht="24" customHeight="1" thickBot="1" x14ac:dyDescent="0.6">
      <c r="A114" s="235"/>
      <c r="B114" s="236" t="s">
        <v>217</v>
      </c>
      <c r="C114" s="237"/>
      <c r="D114" s="238"/>
      <c r="E114" s="239">
        <f t="shared" ref="E114:G114" si="42">E13+E30+E39+E50+E62+E70+E77+E80+E86+E91+E94+E100+E108+E113</f>
        <v>7770</v>
      </c>
      <c r="F114" s="239">
        <f t="shared" si="42"/>
        <v>6046</v>
      </c>
      <c r="G114" s="239">
        <f t="shared" si="42"/>
        <v>4300.2</v>
      </c>
      <c r="H114" s="240">
        <f>SUM(H13,H30,H39,H50,H62,H70,H77,H80,H86,H91,H94,H100,H108,H113)</f>
        <v>4876</v>
      </c>
      <c r="I114" s="241">
        <f t="shared" ref="I114" si="43">H114*100/G114</f>
        <v>113.39007488023813</v>
      </c>
      <c r="J114" s="234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</row>
    <row r="115" spans="1:29" ht="24" customHeight="1" thickTop="1" x14ac:dyDescent="0.55000000000000004">
      <c r="A115" s="242"/>
      <c r="E115" s="243"/>
      <c r="F115" s="243"/>
      <c r="G115" s="243"/>
      <c r="H115" s="243"/>
      <c r="I115" s="243"/>
      <c r="J115" s="234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</row>
    <row r="116" spans="1:29" ht="24" customHeight="1" x14ac:dyDescent="0.55000000000000004">
      <c r="A116" s="242"/>
      <c r="B116" s="244" t="s">
        <v>218</v>
      </c>
      <c r="C116" s="244"/>
      <c r="D116" s="245"/>
      <c r="E116" s="243"/>
      <c r="F116" s="243"/>
      <c r="G116" s="243"/>
      <c r="H116" s="243"/>
      <c r="I116" s="243"/>
      <c r="J116" s="234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</row>
    <row r="117" spans="1:29" ht="24" customHeight="1" x14ac:dyDescent="0.55000000000000004">
      <c r="A117" s="242"/>
      <c r="E117" s="243"/>
      <c r="F117" s="243"/>
      <c r="G117" s="243"/>
      <c r="H117" s="243"/>
      <c r="I117" s="243"/>
      <c r="J117" s="234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</row>
    <row r="118" spans="1:29" ht="24" customHeight="1" x14ac:dyDescent="0.65">
      <c r="A118" s="242"/>
      <c r="B118" s="246"/>
      <c r="E118" s="243"/>
      <c r="F118" s="243"/>
      <c r="G118" s="243"/>
      <c r="H118" s="243"/>
      <c r="I118" s="243"/>
      <c r="J118" s="234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</row>
    <row r="119" spans="1:29" ht="24" customHeight="1" x14ac:dyDescent="0.55000000000000004">
      <c r="A119" s="242"/>
      <c r="C119" s="247" t="s">
        <v>11</v>
      </c>
      <c r="D119" s="248" t="s">
        <v>74</v>
      </c>
      <c r="E119" s="248" t="s">
        <v>219</v>
      </c>
      <c r="F119" s="248" t="s">
        <v>220</v>
      </c>
      <c r="G119" s="243"/>
      <c r="H119" s="243"/>
      <c r="I119" s="243"/>
      <c r="J119" s="234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</row>
    <row r="120" spans="1:29" ht="24" customHeight="1" x14ac:dyDescent="0.55000000000000004">
      <c r="A120" s="242"/>
      <c r="C120" s="249">
        <v>1.1000000000000001</v>
      </c>
      <c r="D120" s="250" t="s">
        <v>221</v>
      </c>
      <c r="E120" s="251">
        <v>4</v>
      </c>
      <c r="F120" s="251">
        <v>11</v>
      </c>
      <c r="G120" s="243"/>
      <c r="H120" s="243"/>
      <c r="I120" s="243"/>
      <c r="J120" s="234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3"/>
      <c r="AC120" s="73"/>
    </row>
    <row r="121" spans="1:29" ht="24" customHeight="1" x14ac:dyDescent="0.55000000000000004">
      <c r="A121" s="242"/>
      <c r="C121" s="249">
        <v>1.2</v>
      </c>
      <c r="D121" s="250" t="s">
        <v>92</v>
      </c>
      <c r="E121" s="251">
        <v>31</v>
      </c>
      <c r="F121" s="251">
        <v>1225</v>
      </c>
      <c r="G121" s="243"/>
      <c r="H121" s="243"/>
      <c r="I121" s="243"/>
      <c r="J121" s="234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</row>
    <row r="122" spans="1:29" ht="24" customHeight="1" x14ac:dyDescent="0.55000000000000004">
      <c r="A122" s="242"/>
      <c r="C122" s="249">
        <v>1.3</v>
      </c>
      <c r="D122" s="250" t="s">
        <v>222</v>
      </c>
      <c r="E122" s="251">
        <v>5</v>
      </c>
      <c r="F122" s="251">
        <v>661</v>
      </c>
      <c r="G122" s="243"/>
      <c r="H122" s="243"/>
      <c r="I122" s="243"/>
      <c r="J122" s="234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</row>
    <row r="123" spans="1:29" ht="24" customHeight="1" x14ac:dyDescent="0.55000000000000004">
      <c r="A123" s="242"/>
      <c r="C123" s="249">
        <v>1.4</v>
      </c>
      <c r="D123" s="250" t="s">
        <v>223</v>
      </c>
      <c r="E123" s="251">
        <v>6</v>
      </c>
      <c r="F123" s="251">
        <v>261</v>
      </c>
      <c r="G123" s="243"/>
      <c r="H123" s="243"/>
      <c r="I123" s="243"/>
      <c r="J123" s="234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3"/>
      <c r="AC123" s="73"/>
    </row>
    <row r="124" spans="1:29" ht="24" customHeight="1" x14ac:dyDescent="0.55000000000000004">
      <c r="A124" s="242"/>
      <c r="C124" s="249">
        <v>1.5</v>
      </c>
      <c r="D124" s="250" t="s">
        <v>150</v>
      </c>
      <c r="E124" s="251">
        <v>2</v>
      </c>
      <c r="F124" s="251">
        <v>31</v>
      </c>
      <c r="G124" s="243"/>
      <c r="H124" s="243"/>
      <c r="I124" s="243"/>
      <c r="J124" s="234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3"/>
      <c r="AC124" s="73"/>
    </row>
    <row r="125" spans="1:29" ht="24" customHeight="1" x14ac:dyDescent="0.55000000000000004">
      <c r="A125" s="242"/>
      <c r="C125" s="249">
        <v>1.6</v>
      </c>
      <c r="D125" s="250" t="s">
        <v>224</v>
      </c>
      <c r="E125" s="251">
        <v>0</v>
      </c>
      <c r="F125" s="251">
        <v>0</v>
      </c>
      <c r="G125" s="243"/>
      <c r="H125" s="243"/>
      <c r="I125" s="243"/>
      <c r="J125" s="234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</row>
    <row r="126" spans="1:29" ht="24" customHeight="1" x14ac:dyDescent="0.55000000000000004">
      <c r="A126" s="242"/>
      <c r="C126" s="249">
        <v>1.7</v>
      </c>
      <c r="D126" s="250" t="s">
        <v>225</v>
      </c>
      <c r="E126" s="251">
        <v>1</v>
      </c>
      <c r="F126" s="251">
        <v>0</v>
      </c>
      <c r="G126" s="243"/>
      <c r="H126" s="243"/>
      <c r="I126" s="243"/>
      <c r="J126" s="234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</row>
    <row r="127" spans="1:29" ht="24" customHeight="1" x14ac:dyDescent="0.55000000000000004">
      <c r="A127" s="242"/>
      <c r="C127" s="252">
        <v>1.8</v>
      </c>
      <c r="D127" s="253" t="s">
        <v>226</v>
      </c>
      <c r="E127" s="254">
        <v>4</v>
      </c>
      <c r="F127" s="254">
        <v>196</v>
      </c>
      <c r="G127" s="243"/>
      <c r="H127" s="243"/>
      <c r="I127" s="243"/>
      <c r="J127" s="234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</row>
    <row r="128" spans="1:29" ht="24" customHeight="1" x14ac:dyDescent="0.55000000000000004">
      <c r="A128" s="242"/>
      <c r="C128" s="249">
        <v>1.9</v>
      </c>
      <c r="D128" s="250" t="s">
        <v>227</v>
      </c>
      <c r="E128" s="251">
        <v>0</v>
      </c>
      <c r="F128" s="251">
        <v>0</v>
      </c>
      <c r="G128" s="243"/>
      <c r="H128" s="243"/>
      <c r="I128" s="243"/>
      <c r="J128" s="234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3"/>
      <c r="AC128" s="73"/>
    </row>
    <row r="129" spans="1:29" ht="24" customHeight="1" x14ac:dyDescent="0.55000000000000004">
      <c r="A129" s="242"/>
      <c r="C129" s="255">
        <v>1.1000000000000001</v>
      </c>
      <c r="D129" s="250" t="s">
        <v>228</v>
      </c>
      <c r="E129" s="251">
        <v>5</v>
      </c>
      <c r="F129" s="251">
        <v>67</v>
      </c>
      <c r="G129" s="243"/>
      <c r="H129" s="243"/>
      <c r="I129" s="243"/>
      <c r="J129" s="234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3"/>
      <c r="AC129" s="73"/>
    </row>
    <row r="130" spans="1:29" ht="24" customHeight="1" x14ac:dyDescent="0.55000000000000004">
      <c r="A130" s="242"/>
      <c r="C130" s="249">
        <v>1.1100000000000001</v>
      </c>
      <c r="D130" s="250" t="s">
        <v>229</v>
      </c>
      <c r="E130" s="251">
        <v>0</v>
      </c>
      <c r="F130" s="251">
        <v>0</v>
      </c>
      <c r="G130" s="243"/>
      <c r="H130" s="243"/>
      <c r="I130" s="243"/>
      <c r="J130" s="234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3"/>
      <c r="AC130" s="73"/>
    </row>
    <row r="131" spans="1:29" ht="24" customHeight="1" x14ac:dyDescent="0.55000000000000004">
      <c r="A131" s="242"/>
      <c r="C131" s="249">
        <v>1.1200000000000001</v>
      </c>
      <c r="D131" s="250" t="s">
        <v>79</v>
      </c>
      <c r="E131" s="251">
        <v>7</v>
      </c>
      <c r="F131" s="251">
        <v>327</v>
      </c>
      <c r="G131" s="243"/>
      <c r="H131" s="243"/>
      <c r="I131" s="243"/>
      <c r="J131" s="234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3"/>
      <c r="AC131" s="73"/>
    </row>
    <row r="132" spans="1:29" ht="24" customHeight="1" x14ac:dyDescent="0.55000000000000004">
      <c r="A132" s="242"/>
      <c r="C132" s="249">
        <v>1</v>
      </c>
      <c r="D132" s="250" t="s">
        <v>230</v>
      </c>
      <c r="E132" s="251">
        <v>65</v>
      </c>
      <c r="F132" s="251">
        <v>2779</v>
      </c>
      <c r="G132" s="243"/>
      <c r="H132" s="243"/>
      <c r="I132" s="243"/>
      <c r="J132" s="234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73"/>
      <c r="AC132" s="73"/>
    </row>
    <row r="133" spans="1:29" ht="24" customHeight="1" x14ac:dyDescent="0.55000000000000004">
      <c r="A133" s="242"/>
      <c r="C133" s="249">
        <v>2</v>
      </c>
      <c r="D133" s="250" t="s">
        <v>231</v>
      </c>
      <c r="E133" s="251">
        <v>14</v>
      </c>
      <c r="F133" s="251">
        <v>866</v>
      </c>
      <c r="G133" s="243"/>
      <c r="H133" s="243"/>
      <c r="I133" s="243"/>
      <c r="J133" s="234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3"/>
      <c r="AC133" s="73"/>
    </row>
    <row r="134" spans="1:29" ht="24" customHeight="1" x14ac:dyDescent="0.55000000000000004">
      <c r="A134" s="242"/>
      <c r="C134" s="252">
        <v>3</v>
      </c>
      <c r="D134" s="253" t="s">
        <v>107</v>
      </c>
      <c r="E134" s="251">
        <v>2</v>
      </c>
      <c r="F134" s="251">
        <v>4</v>
      </c>
      <c r="G134" s="243"/>
      <c r="H134" s="243"/>
      <c r="I134" s="243"/>
      <c r="J134" s="234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3"/>
      <c r="AC134" s="73"/>
    </row>
    <row r="135" spans="1:29" ht="24" customHeight="1" x14ac:dyDescent="0.55000000000000004">
      <c r="A135" s="242"/>
      <c r="C135" s="256"/>
      <c r="D135" s="248" t="s">
        <v>115</v>
      </c>
      <c r="E135" s="248">
        <v>81</v>
      </c>
      <c r="F135" s="248">
        <v>3649</v>
      </c>
      <c r="G135" s="243"/>
      <c r="H135" s="243"/>
      <c r="I135" s="243"/>
      <c r="J135" s="234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</row>
    <row r="136" spans="1:29" ht="24" customHeight="1" x14ac:dyDescent="0.55000000000000004">
      <c r="A136" s="242"/>
      <c r="E136" s="243"/>
      <c r="F136" s="243"/>
      <c r="G136" s="243"/>
      <c r="H136" s="243"/>
      <c r="I136" s="243"/>
      <c r="J136" s="234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3"/>
      <c r="AC136" s="73"/>
    </row>
    <row r="137" spans="1:29" ht="24" customHeight="1" x14ac:dyDescent="0.55000000000000004">
      <c r="A137" s="242"/>
      <c r="E137" s="243"/>
      <c r="F137" s="243"/>
      <c r="G137" s="243"/>
      <c r="H137" s="243"/>
      <c r="I137" s="243"/>
      <c r="J137" s="234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3"/>
      <c r="AC137" s="73"/>
    </row>
    <row r="138" spans="1:29" ht="24" customHeight="1" x14ac:dyDescent="0.55000000000000004">
      <c r="A138" s="242"/>
      <c r="E138" s="243"/>
      <c r="F138" s="243"/>
      <c r="G138" s="243"/>
      <c r="H138" s="243"/>
      <c r="I138" s="243"/>
      <c r="J138" s="234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73"/>
      <c r="AC138" s="73"/>
    </row>
    <row r="139" spans="1:29" ht="24" customHeight="1" x14ac:dyDescent="0.55000000000000004">
      <c r="A139" s="242"/>
      <c r="E139" s="243"/>
      <c r="F139" s="243"/>
      <c r="G139" s="243"/>
      <c r="H139" s="243"/>
      <c r="I139" s="243"/>
      <c r="J139" s="234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3"/>
      <c r="AC139" s="73"/>
    </row>
    <row r="140" spans="1:29" ht="24" customHeight="1" x14ac:dyDescent="0.55000000000000004">
      <c r="A140" s="242"/>
      <c r="E140" s="243"/>
      <c r="F140" s="243"/>
      <c r="G140" s="243"/>
      <c r="H140" s="243"/>
      <c r="I140" s="243"/>
      <c r="J140" s="234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  <c r="AB140" s="73"/>
      <c r="AC140" s="73"/>
    </row>
    <row r="141" spans="1:29" ht="24" customHeight="1" x14ac:dyDescent="0.55000000000000004">
      <c r="A141" s="242"/>
      <c r="E141" s="243"/>
      <c r="F141" s="243"/>
      <c r="G141" s="243"/>
      <c r="H141" s="243"/>
      <c r="I141" s="243"/>
      <c r="J141" s="234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73"/>
      <c r="AC141" s="73"/>
    </row>
    <row r="142" spans="1:29" ht="24" customHeight="1" x14ac:dyDescent="0.55000000000000004">
      <c r="A142" s="242"/>
      <c r="E142" s="243"/>
      <c r="F142" s="243"/>
      <c r="G142" s="243"/>
      <c r="H142" s="243"/>
      <c r="I142" s="243"/>
      <c r="J142" s="234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</row>
    <row r="143" spans="1:29" ht="24" customHeight="1" x14ac:dyDescent="0.55000000000000004">
      <c r="A143" s="242"/>
      <c r="E143" s="243"/>
      <c r="F143" s="243"/>
      <c r="G143" s="243"/>
      <c r="H143" s="243"/>
      <c r="I143" s="243"/>
      <c r="J143" s="234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3"/>
      <c r="AC143" s="73"/>
    </row>
    <row r="144" spans="1:29" ht="24" customHeight="1" x14ac:dyDescent="0.55000000000000004">
      <c r="A144" s="242"/>
      <c r="E144" s="243"/>
      <c r="F144" s="243"/>
      <c r="G144" s="243"/>
      <c r="H144" s="243"/>
      <c r="I144" s="243"/>
      <c r="J144" s="234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3"/>
      <c r="AC144" s="73"/>
    </row>
    <row r="145" spans="1:29" ht="24" customHeight="1" x14ac:dyDescent="0.55000000000000004">
      <c r="A145" s="242"/>
      <c r="E145" s="243"/>
      <c r="F145" s="243"/>
      <c r="G145" s="243"/>
      <c r="H145" s="243"/>
      <c r="I145" s="243"/>
      <c r="J145" s="234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  <c r="AB145" s="73"/>
      <c r="AC145" s="73"/>
    </row>
    <row r="146" spans="1:29" ht="24" customHeight="1" x14ac:dyDescent="0.55000000000000004">
      <c r="A146" s="242"/>
      <c r="E146" s="243"/>
      <c r="F146" s="243"/>
      <c r="G146" s="243"/>
      <c r="H146" s="243"/>
      <c r="I146" s="243"/>
      <c r="J146" s="234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  <c r="AB146" s="73"/>
      <c r="AC146" s="73"/>
    </row>
    <row r="147" spans="1:29" ht="24" customHeight="1" x14ac:dyDescent="0.55000000000000004">
      <c r="A147" s="242"/>
      <c r="E147" s="243"/>
      <c r="F147" s="243"/>
      <c r="G147" s="243"/>
      <c r="H147" s="243"/>
      <c r="I147" s="243"/>
      <c r="J147" s="234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73"/>
      <c r="AC147" s="73"/>
    </row>
    <row r="148" spans="1:29" ht="24" customHeight="1" x14ac:dyDescent="0.55000000000000004">
      <c r="A148" s="242"/>
      <c r="E148" s="243"/>
      <c r="F148" s="243"/>
      <c r="G148" s="243"/>
      <c r="H148" s="243"/>
      <c r="I148" s="243"/>
      <c r="J148" s="234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3"/>
      <c r="AC148" s="73"/>
    </row>
    <row r="149" spans="1:29" ht="24" customHeight="1" x14ac:dyDescent="0.55000000000000004">
      <c r="A149" s="242"/>
      <c r="E149" s="243"/>
      <c r="F149" s="243"/>
      <c r="G149" s="243"/>
      <c r="H149" s="243"/>
      <c r="I149" s="243"/>
      <c r="J149" s="234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3"/>
      <c r="AC149" s="73"/>
    </row>
    <row r="150" spans="1:29" ht="24" customHeight="1" x14ac:dyDescent="0.55000000000000004">
      <c r="A150" s="242"/>
      <c r="E150" s="243"/>
      <c r="F150" s="243"/>
      <c r="G150" s="243"/>
      <c r="H150" s="243"/>
      <c r="I150" s="243"/>
      <c r="J150" s="234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  <c r="AB150" s="73"/>
      <c r="AC150" s="73"/>
    </row>
    <row r="151" spans="1:29" ht="24" customHeight="1" x14ac:dyDescent="0.55000000000000004">
      <c r="A151" s="242"/>
      <c r="E151" s="243"/>
      <c r="F151" s="243"/>
      <c r="G151" s="243"/>
      <c r="H151" s="243"/>
      <c r="I151" s="243"/>
      <c r="J151" s="234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</row>
    <row r="152" spans="1:29" ht="24" customHeight="1" x14ac:dyDescent="0.55000000000000004">
      <c r="A152" s="242"/>
      <c r="E152" s="243"/>
      <c r="F152" s="243"/>
      <c r="G152" s="243"/>
      <c r="H152" s="243"/>
      <c r="I152" s="243"/>
      <c r="J152" s="234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</row>
    <row r="153" spans="1:29" ht="24" customHeight="1" x14ac:dyDescent="0.55000000000000004">
      <c r="A153" s="242"/>
      <c r="E153" s="243"/>
      <c r="F153" s="243"/>
      <c r="G153" s="243"/>
      <c r="H153" s="243"/>
      <c r="I153" s="243"/>
      <c r="J153" s="234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  <c r="AA153" s="73"/>
      <c r="AB153" s="73"/>
      <c r="AC153" s="73"/>
    </row>
    <row r="154" spans="1:29" ht="24" customHeight="1" x14ac:dyDescent="0.55000000000000004">
      <c r="A154" s="242"/>
      <c r="E154" s="243"/>
      <c r="F154" s="243"/>
      <c r="G154" s="243"/>
      <c r="H154" s="243"/>
      <c r="I154" s="243"/>
      <c r="J154" s="234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  <c r="AA154" s="73"/>
      <c r="AB154" s="73"/>
      <c r="AC154" s="73"/>
    </row>
    <row r="155" spans="1:29" ht="24" customHeight="1" x14ac:dyDescent="0.55000000000000004">
      <c r="A155" s="242"/>
      <c r="E155" s="243"/>
      <c r="F155" s="243"/>
      <c r="G155" s="243"/>
      <c r="H155" s="243"/>
      <c r="I155" s="243"/>
      <c r="J155" s="234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  <c r="AA155" s="73"/>
      <c r="AB155" s="73"/>
      <c r="AC155" s="73"/>
    </row>
    <row r="156" spans="1:29" ht="24" customHeight="1" x14ac:dyDescent="0.55000000000000004">
      <c r="A156" s="242"/>
      <c r="E156" s="243"/>
      <c r="F156" s="243"/>
      <c r="G156" s="243"/>
      <c r="H156" s="243"/>
      <c r="I156" s="243"/>
      <c r="J156" s="234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  <c r="AA156" s="73"/>
      <c r="AB156" s="73"/>
      <c r="AC156" s="73"/>
    </row>
    <row r="157" spans="1:29" ht="24" customHeight="1" x14ac:dyDescent="0.55000000000000004">
      <c r="A157" s="242"/>
      <c r="E157" s="243"/>
      <c r="F157" s="243"/>
      <c r="G157" s="243"/>
      <c r="H157" s="243"/>
      <c r="I157" s="243"/>
      <c r="J157" s="234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  <c r="AA157" s="73"/>
      <c r="AB157" s="73"/>
      <c r="AC157" s="73"/>
    </row>
    <row r="158" spans="1:29" ht="24" customHeight="1" x14ac:dyDescent="0.55000000000000004">
      <c r="A158" s="242"/>
      <c r="E158" s="243"/>
      <c r="F158" s="243"/>
      <c r="G158" s="243"/>
      <c r="H158" s="243"/>
      <c r="I158" s="243"/>
      <c r="J158" s="234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  <c r="AA158" s="73"/>
      <c r="AB158" s="73"/>
      <c r="AC158" s="73"/>
    </row>
    <row r="159" spans="1:29" ht="24" customHeight="1" x14ac:dyDescent="0.55000000000000004">
      <c r="A159" s="242"/>
      <c r="E159" s="243"/>
      <c r="F159" s="243"/>
      <c r="G159" s="243"/>
      <c r="H159" s="243"/>
      <c r="I159" s="243"/>
      <c r="J159" s="234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  <c r="AA159" s="73"/>
      <c r="AB159" s="73"/>
      <c r="AC159" s="73"/>
    </row>
    <row r="160" spans="1:29" ht="24" customHeight="1" x14ac:dyDescent="0.55000000000000004">
      <c r="A160" s="242"/>
      <c r="E160" s="243"/>
      <c r="F160" s="243"/>
      <c r="G160" s="243"/>
      <c r="H160" s="243"/>
      <c r="I160" s="243"/>
      <c r="J160" s="234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  <c r="Z160" s="73"/>
      <c r="AA160" s="73"/>
      <c r="AB160" s="73"/>
      <c r="AC160" s="73"/>
    </row>
    <row r="161" spans="1:29" ht="24" customHeight="1" x14ac:dyDescent="0.55000000000000004">
      <c r="A161" s="242"/>
      <c r="E161" s="243"/>
      <c r="F161" s="243"/>
      <c r="G161" s="243"/>
      <c r="H161" s="243"/>
      <c r="I161" s="243"/>
      <c r="J161" s="234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  <c r="AA161" s="73"/>
      <c r="AB161" s="73"/>
      <c r="AC161" s="73"/>
    </row>
    <row r="162" spans="1:29" ht="24" customHeight="1" x14ac:dyDescent="0.55000000000000004">
      <c r="A162" s="242"/>
      <c r="E162" s="243"/>
      <c r="F162" s="243"/>
      <c r="G162" s="243"/>
      <c r="H162" s="243"/>
      <c r="I162" s="243"/>
      <c r="J162" s="234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3"/>
      <c r="AA162" s="73"/>
      <c r="AB162" s="73"/>
      <c r="AC162" s="73"/>
    </row>
    <row r="163" spans="1:29" ht="24" customHeight="1" x14ac:dyDescent="0.55000000000000004">
      <c r="A163" s="242"/>
      <c r="E163" s="243"/>
      <c r="F163" s="243"/>
      <c r="G163" s="243"/>
      <c r="H163" s="243"/>
      <c r="I163" s="243"/>
      <c r="J163" s="234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  <c r="AA163" s="73"/>
      <c r="AB163" s="73"/>
      <c r="AC163" s="73"/>
    </row>
    <row r="164" spans="1:29" ht="24" customHeight="1" x14ac:dyDescent="0.55000000000000004">
      <c r="A164" s="242"/>
      <c r="E164" s="243"/>
      <c r="F164" s="243"/>
      <c r="G164" s="243"/>
      <c r="H164" s="243"/>
      <c r="I164" s="243"/>
      <c r="J164" s="234"/>
      <c r="K164" s="73"/>
      <c r="L164" s="73"/>
      <c r="M164" s="73"/>
      <c r="N164" s="73"/>
      <c r="O164" s="73"/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  <c r="AA164" s="73"/>
      <c r="AB164" s="73"/>
      <c r="AC164" s="73"/>
    </row>
    <row r="165" spans="1:29" ht="24" customHeight="1" x14ac:dyDescent="0.55000000000000004">
      <c r="A165" s="242"/>
      <c r="E165" s="243"/>
      <c r="F165" s="243"/>
      <c r="G165" s="243"/>
      <c r="H165" s="243"/>
      <c r="I165" s="243"/>
      <c r="J165" s="234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  <c r="AA165" s="73"/>
      <c r="AB165" s="73"/>
      <c r="AC165" s="73"/>
    </row>
    <row r="166" spans="1:29" ht="24" customHeight="1" x14ac:dyDescent="0.55000000000000004">
      <c r="A166" s="242"/>
      <c r="E166" s="243"/>
      <c r="F166" s="243"/>
      <c r="G166" s="243"/>
      <c r="H166" s="243"/>
      <c r="I166" s="243"/>
      <c r="J166" s="234"/>
      <c r="K166" s="73"/>
      <c r="L166" s="73"/>
      <c r="M166" s="73"/>
      <c r="N166" s="73"/>
      <c r="O166" s="73"/>
      <c r="P166" s="73"/>
      <c r="Q166" s="73"/>
      <c r="R166" s="73"/>
      <c r="S166" s="73"/>
      <c r="T166" s="73"/>
      <c r="U166" s="73"/>
      <c r="V166" s="73"/>
      <c r="W166" s="73"/>
      <c r="X166" s="73"/>
      <c r="Y166" s="73"/>
      <c r="Z166" s="73"/>
      <c r="AA166" s="73"/>
      <c r="AB166" s="73"/>
      <c r="AC166" s="73"/>
    </row>
    <row r="167" spans="1:29" ht="24" customHeight="1" x14ac:dyDescent="0.55000000000000004">
      <c r="A167" s="242"/>
      <c r="E167" s="243"/>
      <c r="F167" s="243"/>
      <c r="G167" s="243"/>
      <c r="H167" s="243"/>
      <c r="I167" s="243"/>
      <c r="J167" s="234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73"/>
      <c r="X167" s="73"/>
      <c r="Y167" s="73"/>
      <c r="Z167" s="73"/>
      <c r="AA167" s="73"/>
      <c r="AB167" s="73"/>
      <c r="AC167" s="73"/>
    </row>
    <row r="168" spans="1:29" ht="24" customHeight="1" x14ac:dyDescent="0.55000000000000004">
      <c r="A168" s="242"/>
      <c r="E168" s="243"/>
      <c r="F168" s="243"/>
      <c r="G168" s="243"/>
      <c r="H168" s="243"/>
      <c r="I168" s="243"/>
      <c r="J168" s="234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73"/>
      <c r="W168" s="73"/>
      <c r="X168" s="73"/>
      <c r="Y168" s="73"/>
      <c r="Z168" s="73"/>
      <c r="AA168" s="73"/>
      <c r="AB168" s="73"/>
      <c r="AC168" s="73"/>
    </row>
    <row r="169" spans="1:29" ht="24" customHeight="1" x14ac:dyDescent="0.55000000000000004">
      <c r="A169" s="242"/>
      <c r="E169" s="243"/>
      <c r="F169" s="243"/>
      <c r="G169" s="243"/>
      <c r="H169" s="243"/>
      <c r="I169" s="243"/>
      <c r="J169" s="234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  <c r="AA169" s="73"/>
      <c r="AB169" s="73"/>
      <c r="AC169" s="73"/>
    </row>
    <row r="170" spans="1:29" ht="24" customHeight="1" x14ac:dyDescent="0.55000000000000004">
      <c r="A170" s="242"/>
      <c r="E170" s="243"/>
      <c r="F170" s="243"/>
      <c r="G170" s="243"/>
      <c r="H170" s="243"/>
      <c r="I170" s="243"/>
      <c r="J170" s="234"/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Z170" s="73"/>
      <c r="AA170" s="73"/>
      <c r="AB170" s="73"/>
      <c r="AC170" s="73"/>
    </row>
    <row r="171" spans="1:29" ht="24" customHeight="1" x14ac:dyDescent="0.55000000000000004">
      <c r="A171" s="242"/>
      <c r="E171" s="243"/>
      <c r="F171" s="243"/>
      <c r="G171" s="243"/>
      <c r="H171" s="243"/>
      <c r="I171" s="243"/>
      <c r="J171" s="234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  <c r="AA171" s="73"/>
      <c r="AB171" s="73"/>
      <c r="AC171" s="73"/>
    </row>
    <row r="172" spans="1:29" ht="24" customHeight="1" x14ac:dyDescent="0.55000000000000004">
      <c r="A172" s="242"/>
      <c r="E172" s="243"/>
      <c r="F172" s="243"/>
      <c r="G172" s="243"/>
      <c r="H172" s="243"/>
      <c r="I172" s="243"/>
      <c r="J172" s="234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  <c r="AA172" s="73"/>
      <c r="AB172" s="73"/>
      <c r="AC172" s="73"/>
    </row>
    <row r="173" spans="1:29" ht="24" customHeight="1" x14ac:dyDescent="0.55000000000000004">
      <c r="A173" s="242"/>
      <c r="E173" s="243"/>
      <c r="F173" s="243"/>
      <c r="G173" s="243"/>
      <c r="H173" s="243"/>
      <c r="I173" s="243"/>
      <c r="J173" s="234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73"/>
      <c r="W173" s="73"/>
      <c r="X173" s="73"/>
      <c r="Y173" s="73"/>
      <c r="Z173" s="73"/>
      <c r="AA173" s="73"/>
      <c r="AB173" s="73"/>
      <c r="AC173" s="73"/>
    </row>
    <row r="174" spans="1:29" ht="24" customHeight="1" x14ac:dyDescent="0.55000000000000004">
      <c r="A174" s="242"/>
      <c r="E174" s="243"/>
      <c r="F174" s="243"/>
      <c r="G174" s="243"/>
      <c r="H174" s="243"/>
      <c r="I174" s="243"/>
      <c r="J174" s="234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3"/>
      <c r="V174" s="73"/>
      <c r="W174" s="73"/>
      <c r="X174" s="73"/>
      <c r="Y174" s="73"/>
      <c r="Z174" s="73"/>
      <c r="AA174" s="73"/>
      <c r="AB174" s="73"/>
      <c r="AC174" s="73"/>
    </row>
    <row r="175" spans="1:29" ht="24" customHeight="1" x14ac:dyDescent="0.55000000000000004">
      <c r="A175" s="242"/>
      <c r="E175" s="243"/>
      <c r="F175" s="243"/>
      <c r="G175" s="243"/>
      <c r="H175" s="243"/>
      <c r="I175" s="243"/>
      <c r="J175" s="234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  <c r="AA175" s="73"/>
      <c r="AB175" s="73"/>
      <c r="AC175" s="73"/>
    </row>
    <row r="176" spans="1:29" ht="24" customHeight="1" x14ac:dyDescent="0.55000000000000004">
      <c r="A176" s="242"/>
      <c r="E176" s="243"/>
      <c r="F176" s="243"/>
      <c r="G176" s="243"/>
      <c r="H176" s="243"/>
      <c r="I176" s="243"/>
      <c r="J176" s="234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  <c r="AA176" s="73"/>
      <c r="AB176" s="73"/>
      <c r="AC176" s="73"/>
    </row>
    <row r="177" spans="1:29" ht="24" customHeight="1" x14ac:dyDescent="0.55000000000000004">
      <c r="A177" s="242"/>
      <c r="E177" s="243"/>
      <c r="F177" s="243"/>
      <c r="G177" s="243"/>
      <c r="H177" s="243"/>
      <c r="I177" s="243"/>
      <c r="J177" s="234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</row>
    <row r="178" spans="1:29" ht="24" customHeight="1" x14ac:dyDescent="0.55000000000000004">
      <c r="A178" s="242"/>
      <c r="E178" s="243"/>
      <c r="F178" s="243"/>
      <c r="G178" s="243"/>
      <c r="H178" s="243"/>
      <c r="I178" s="243"/>
      <c r="J178" s="234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</row>
    <row r="179" spans="1:29" ht="24" customHeight="1" x14ac:dyDescent="0.55000000000000004">
      <c r="A179" s="242"/>
      <c r="E179" s="243"/>
      <c r="F179" s="243"/>
      <c r="G179" s="243"/>
      <c r="H179" s="243"/>
      <c r="I179" s="243"/>
      <c r="J179" s="234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  <c r="AA179" s="73"/>
      <c r="AB179" s="73"/>
      <c r="AC179" s="73"/>
    </row>
    <row r="180" spans="1:29" ht="24" customHeight="1" x14ac:dyDescent="0.55000000000000004">
      <c r="A180" s="242"/>
      <c r="E180" s="243"/>
      <c r="F180" s="243"/>
      <c r="G180" s="243"/>
      <c r="H180" s="243"/>
      <c r="I180" s="243"/>
      <c r="J180" s="234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  <c r="AA180" s="73"/>
      <c r="AB180" s="73"/>
      <c r="AC180" s="73"/>
    </row>
    <row r="181" spans="1:29" ht="24" customHeight="1" x14ac:dyDescent="0.55000000000000004">
      <c r="A181" s="242"/>
      <c r="E181" s="243"/>
      <c r="F181" s="243"/>
      <c r="G181" s="243"/>
      <c r="H181" s="243"/>
      <c r="I181" s="243"/>
      <c r="J181" s="234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  <c r="AA181" s="73"/>
      <c r="AB181" s="73"/>
      <c r="AC181" s="73"/>
    </row>
    <row r="182" spans="1:29" ht="24" customHeight="1" x14ac:dyDescent="0.55000000000000004">
      <c r="A182" s="242"/>
      <c r="E182" s="243"/>
      <c r="F182" s="243"/>
      <c r="G182" s="243"/>
      <c r="H182" s="243"/>
      <c r="I182" s="243"/>
      <c r="J182" s="234"/>
      <c r="K182" s="73"/>
      <c r="L182" s="73"/>
      <c r="M182" s="73"/>
      <c r="N182" s="73"/>
      <c r="O182" s="73"/>
      <c r="P182" s="73"/>
      <c r="Q182" s="73"/>
      <c r="R182" s="73"/>
      <c r="S182" s="73"/>
      <c r="T182" s="73"/>
      <c r="U182" s="73"/>
      <c r="V182" s="73"/>
      <c r="W182" s="73"/>
      <c r="X182" s="73"/>
      <c r="Y182" s="73"/>
      <c r="Z182" s="73"/>
      <c r="AA182" s="73"/>
      <c r="AB182" s="73"/>
      <c r="AC182" s="73"/>
    </row>
    <row r="183" spans="1:29" ht="24" customHeight="1" x14ac:dyDescent="0.55000000000000004">
      <c r="A183" s="242"/>
      <c r="E183" s="243"/>
      <c r="F183" s="243"/>
      <c r="G183" s="243"/>
      <c r="H183" s="243"/>
      <c r="I183" s="243"/>
      <c r="J183" s="234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  <c r="AA183" s="73"/>
      <c r="AB183" s="73"/>
      <c r="AC183" s="73"/>
    </row>
    <row r="184" spans="1:29" ht="24" customHeight="1" x14ac:dyDescent="0.55000000000000004">
      <c r="A184" s="242"/>
      <c r="E184" s="243"/>
      <c r="F184" s="243"/>
      <c r="G184" s="243"/>
      <c r="H184" s="243"/>
      <c r="I184" s="243"/>
      <c r="J184" s="234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  <c r="AA184" s="73"/>
      <c r="AB184" s="73"/>
      <c r="AC184" s="73"/>
    </row>
    <row r="185" spans="1:29" ht="24" customHeight="1" x14ac:dyDescent="0.55000000000000004">
      <c r="A185" s="242"/>
      <c r="E185" s="243"/>
      <c r="F185" s="243"/>
      <c r="G185" s="243"/>
      <c r="H185" s="243"/>
      <c r="I185" s="243"/>
      <c r="J185" s="234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3"/>
      <c r="AA185" s="73"/>
      <c r="AB185" s="73"/>
      <c r="AC185" s="73"/>
    </row>
    <row r="186" spans="1:29" ht="24" customHeight="1" x14ac:dyDescent="0.55000000000000004">
      <c r="A186" s="242"/>
      <c r="E186" s="243"/>
      <c r="F186" s="243"/>
      <c r="G186" s="243"/>
      <c r="H186" s="243"/>
      <c r="I186" s="243"/>
      <c r="J186" s="234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3"/>
      <c r="AA186" s="73"/>
      <c r="AB186" s="73"/>
      <c r="AC186" s="73"/>
    </row>
    <row r="187" spans="1:29" ht="24" customHeight="1" x14ac:dyDescent="0.55000000000000004">
      <c r="A187" s="242"/>
      <c r="E187" s="243"/>
      <c r="F187" s="243"/>
      <c r="G187" s="243"/>
      <c r="H187" s="243"/>
      <c r="I187" s="243"/>
      <c r="J187" s="234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  <c r="V187" s="73"/>
      <c r="W187" s="73"/>
      <c r="X187" s="73"/>
      <c r="Y187" s="73"/>
      <c r="Z187" s="73"/>
      <c r="AA187" s="73"/>
      <c r="AB187" s="73"/>
      <c r="AC187" s="73"/>
    </row>
    <row r="188" spans="1:29" ht="24" customHeight="1" x14ac:dyDescent="0.55000000000000004">
      <c r="A188" s="242"/>
      <c r="E188" s="243"/>
      <c r="F188" s="243"/>
      <c r="G188" s="243"/>
      <c r="H188" s="243"/>
      <c r="I188" s="243"/>
      <c r="J188" s="234"/>
      <c r="K188" s="73"/>
      <c r="L188" s="73"/>
      <c r="M188" s="73"/>
      <c r="N188" s="73"/>
      <c r="O188" s="73"/>
      <c r="P188" s="73"/>
      <c r="Q188" s="73"/>
      <c r="R188" s="73"/>
      <c r="S188" s="73"/>
      <c r="T188" s="73"/>
      <c r="U188" s="73"/>
      <c r="V188" s="73"/>
      <c r="W188" s="73"/>
      <c r="X188" s="73"/>
      <c r="Y188" s="73"/>
      <c r="Z188" s="73"/>
      <c r="AA188" s="73"/>
      <c r="AB188" s="73"/>
      <c r="AC188" s="73"/>
    </row>
    <row r="189" spans="1:29" ht="24" customHeight="1" x14ac:dyDescent="0.55000000000000004">
      <c r="A189" s="242"/>
      <c r="E189" s="243"/>
      <c r="F189" s="243"/>
      <c r="G189" s="243"/>
      <c r="H189" s="243"/>
      <c r="I189" s="243"/>
      <c r="J189" s="234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  <c r="AA189" s="73"/>
      <c r="AB189" s="73"/>
      <c r="AC189" s="73"/>
    </row>
    <row r="190" spans="1:29" ht="24" customHeight="1" x14ac:dyDescent="0.55000000000000004">
      <c r="A190" s="242"/>
      <c r="E190" s="243"/>
      <c r="F190" s="243"/>
      <c r="G190" s="243"/>
      <c r="H190" s="243"/>
      <c r="I190" s="243"/>
      <c r="J190" s="234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  <c r="V190" s="73"/>
      <c r="W190" s="73"/>
      <c r="X190" s="73"/>
      <c r="Y190" s="73"/>
      <c r="Z190" s="73"/>
      <c r="AA190" s="73"/>
      <c r="AB190" s="73"/>
      <c r="AC190" s="73"/>
    </row>
    <row r="191" spans="1:29" ht="24" customHeight="1" x14ac:dyDescent="0.55000000000000004">
      <c r="A191" s="242"/>
      <c r="E191" s="243"/>
      <c r="F191" s="243"/>
      <c r="G191" s="243"/>
      <c r="H191" s="243"/>
      <c r="I191" s="243"/>
      <c r="J191" s="234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73"/>
      <c r="AA191" s="73"/>
      <c r="AB191" s="73"/>
      <c r="AC191" s="73"/>
    </row>
    <row r="192" spans="1:29" ht="24" customHeight="1" x14ac:dyDescent="0.55000000000000004">
      <c r="A192" s="242"/>
      <c r="E192" s="243"/>
      <c r="F192" s="243"/>
      <c r="G192" s="243"/>
      <c r="H192" s="243"/>
      <c r="I192" s="243"/>
      <c r="J192" s="234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  <c r="AA192" s="73"/>
      <c r="AB192" s="73"/>
      <c r="AC192" s="73"/>
    </row>
    <row r="193" spans="1:29" ht="24" customHeight="1" x14ac:dyDescent="0.55000000000000004">
      <c r="A193" s="242"/>
      <c r="E193" s="243"/>
      <c r="F193" s="243"/>
      <c r="G193" s="243"/>
      <c r="H193" s="243"/>
      <c r="I193" s="243"/>
      <c r="J193" s="234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  <c r="AA193" s="73"/>
      <c r="AB193" s="73"/>
      <c r="AC193" s="73"/>
    </row>
    <row r="194" spans="1:29" ht="24" customHeight="1" x14ac:dyDescent="0.55000000000000004">
      <c r="A194" s="242"/>
      <c r="E194" s="243"/>
      <c r="F194" s="243"/>
      <c r="G194" s="243"/>
      <c r="H194" s="243"/>
      <c r="I194" s="243"/>
      <c r="J194" s="234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W194" s="73"/>
      <c r="X194" s="73"/>
      <c r="Y194" s="73"/>
      <c r="Z194" s="73"/>
      <c r="AA194" s="73"/>
      <c r="AB194" s="73"/>
      <c r="AC194" s="73"/>
    </row>
    <row r="195" spans="1:29" ht="24" customHeight="1" x14ac:dyDescent="0.55000000000000004">
      <c r="A195" s="242"/>
      <c r="E195" s="243"/>
      <c r="F195" s="243"/>
      <c r="G195" s="243"/>
      <c r="H195" s="243"/>
      <c r="I195" s="243"/>
      <c r="J195" s="234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3"/>
      <c r="V195" s="73"/>
      <c r="W195" s="73"/>
      <c r="X195" s="73"/>
      <c r="Y195" s="73"/>
      <c r="Z195" s="73"/>
      <c r="AA195" s="73"/>
      <c r="AB195" s="73"/>
      <c r="AC195" s="73"/>
    </row>
    <row r="196" spans="1:29" ht="24" customHeight="1" x14ac:dyDescent="0.55000000000000004">
      <c r="A196" s="242"/>
      <c r="E196" s="243"/>
      <c r="F196" s="243"/>
      <c r="G196" s="243"/>
      <c r="H196" s="243"/>
      <c r="I196" s="243"/>
      <c r="J196" s="234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73"/>
      <c r="X196" s="73"/>
      <c r="Y196" s="73"/>
      <c r="Z196" s="73"/>
      <c r="AA196" s="73"/>
      <c r="AB196" s="73"/>
      <c r="AC196" s="73"/>
    </row>
    <row r="197" spans="1:29" ht="24" customHeight="1" x14ac:dyDescent="0.55000000000000004">
      <c r="A197" s="242"/>
      <c r="E197" s="243"/>
      <c r="F197" s="243"/>
      <c r="G197" s="243"/>
      <c r="H197" s="243"/>
      <c r="I197" s="243"/>
      <c r="J197" s="234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  <c r="Z197" s="73"/>
      <c r="AA197" s="73"/>
      <c r="AB197" s="73"/>
      <c r="AC197" s="73"/>
    </row>
    <row r="198" spans="1:29" ht="24" customHeight="1" x14ac:dyDescent="0.55000000000000004">
      <c r="A198" s="242"/>
      <c r="E198" s="243"/>
      <c r="F198" s="243"/>
      <c r="G198" s="243"/>
      <c r="H198" s="243"/>
      <c r="I198" s="243"/>
      <c r="J198" s="234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73"/>
      <c r="X198" s="73"/>
      <c r="Y198" s="73"/>
      <c r="Z198" s="73"/>
      <c r="AA198" s="73"/>
      <c r="AB198" s="73"/>
      <c r="AC198" s="73"/>
    </row>
    <row r="199" spans="1:29" ht="24" customHeight="1" x14ac:dyDescent="0.55000000000000004">
      <c r="A199" s="242"/>
      <c r="E199" s="243"/>
      <c r="F199" s="243"/>
      <c r="G199" s="243"/>
      <c r="H199" s="243"/>
      <c r="I199" s="243"/>
      <c r="J199" s="234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  <c r="V199" s="73"/>
      <c r="W199" s="73"/>
      <c r="X199" s="73"/>
      <c r="Y199" s="73"/>
      <c r="Z199" s="73"/>
      <c r="AA199" s="73"/>
      <c r="AB199" s="73"/>
      <c r="AC199" s="73"/>
    </row>
    <row r="200" spans="1:29" ht="24" customHeight="1" x14ac:dyDescent="0.55000000000000004">
      <c r="A200" s="242"/>
      <c r="E200" s="243"/>
      <c r="F200" s="243"/>
      <c r="G200" s="243"/>
      <c r="H200" s="243"/>
      <c r="I200" s="243"/>
      <c r="J200" s="234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  <c r="V200" s="73"/>
      <c r="W200" s="73"/>
      <c r="X200" s="73"/>
      <c r="Y200" s="73"/>
      <c r="Z200" s="73"/>
      <c r="AA200" s="73"/>
      <c r="AB200" s="73"/>
      <c r="AC200" s="73"/>
    </row>
    <row r="201" spans="1:29" ht="24" customHeight="1" x14ac:dyDescent="0.55000000000000004">
      <c r="A201" s="242"/>
      <c r="E201" s="243"/>
      <c r="F201" s="243"/>
      <c r="G201" s="243"/>
      <c r="H201" s="243"/>
      <c r="I201" s="243"/>
      <c r="J201" s="234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3"/>
      <c r="X201" s="73"/>
      <c r="Y201" s="73"/>
      <c r="Z201" s="73"/>
      <c r="AA201" s="73"/>
      <c r="AB201" s="73"/>
      <c r="AC201" s="73"/>
    </row>
    <row r="202" spans="1:29" ht="24" customHeight="1" x14ac:dyDescent="0.55000000000000004">
      <c r="A202" s="242"/>
      <c r="E202" s="243"/>
      <c r="F202" s="243"/>
      <c r="G202" s="243"/>
      <c r="H202" s="243"/>
      <c r="I202" s="243"/>
      <c r="J202" s="234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73"/>
      <c r="V202" s="73"/>
      <c r="W202" s="73"/>
      <c r="X202" s="73"/>
      <c r="Y202" s="73"/>
      <c r="Z202" s="73"/>
      <c r="AA202" s="73"/>
      <c r="AB202" s="73"/>
      <c r="AC202" s="73"/>
    </row>
    <row r="203" spans="1:29" ht="24" customHeight="1" x14ac:dyDescent="0.55000000000000004">
      <c r="A203" s="242"/>
      <c r="E203" s="243"/>
      <c r="F203" s="243"/>
      <c r="G203" s="243"/>
      <c r="H203" s="243"/>
      <c r="I203" s="243"/>
      <c r="J203" s="234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</row>
    <row r="204" spans="1:29" ht="24" customHeight="1" x14ac:dyDescent="0.55000000000000004">
      <c r="A204" s="242"/>
      <c r="E204" s="243"/>
      <c r="F204" s="243"/>
      <c r="G204" s="243"/>
      <c r="H204" s="243"/>
      <c r="I204" s="243"/>
      <c r="J204" s="234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</row>
    <row r="205" spans="1:29" ht="24" customHeight="1" x14ac:dyDescent="0.55000000000000004">
      <c r="A205" s="242"/>
      <c r="E205" s="243"/>
      <c r="F205" s="243"/>
      <c r="G205" s="243"/>
      <c r="H205" s="243"/>
      <c r="I205" s="243"/>
      <c r="J205" s="234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73"/>
      <c r="X205" s="73"/>
      <c r="Y205" s="73"/>
      <c r="Z205" s="73"/>
      <c r="AA205" s="73"/>
      <c r="AB205" s="73"/>
      <c r="AC205" s="73"/>
    </row>
    <row r="206" spans="1:29" ht="24" customHeight="1" x14ac:dyDescent="0.55000000000000004">
      <c r="A206" s="242"/>
      <c r="E206" s="243"/>
      <c r="F206" s="243"/>
      <c r="G206" s="243"/>
      <c r="H206" s="243"/>
      <c r="I206" s="243"/>
      <c r="J206" s="234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73"/>
      <c r="V206" s="73"/>
      <c r="W206" s="73"/>
      <c r="X206" s="73"/>
      <c r="Y206" s="73"/>
      <c r="Z206" s="73"/>
      <c r="AA206" s="73"/>
      <c r="AB206" s="73"/>
      <c r="AC206" s="73"/>
    </row>
    <row r="207" spans="1:29" ht="24" customHeight="1" x14ac:dyDescent="0.55000000000000004">
      <c r="A207" s="242"/>
      <c r="E207" s="243"/>
      <c r="F207" s="243"/>
      <c r="G207" s="243"/>
      <c r="H207" s="243"/>
      <c r="I207" s="243"/>
      <c r="J207" s="234"/>
      <c r="K207" s="73"/>
      <c r="L207" s="73"/>
      <c r="M207" s="73"/>
      <c r="N207" s="73"/>
      <c r="O207" s="73"/>
      <c r="P207" s="73"/>
      <c r="Q207" s="73"/>
      <c r="R207" s="73"/>
      <c r="S207" s="73"/>
      <c r="T207" s="73"/>
      <c r="U207" s="73"/>
      <c r="V207" s="73"/>
      <c r="W207" s="73"/>
      <c r="X207" s="73"/>
      <c r="Y207" s="73"/>
      <c r="Z207" s="73"/>
      <c r="AA207" s="73"/>
      <c r="AB207" s="73"/>
      <c r="AC207" s="73"/>
    </row>
    <row r="208" spans="1:29" ht="24" customHeight="1" x14ac:dyDescent="0.55000000000000004">
      <c r="A208" s="242"/>
      <c r="E208" s="243"/>
      <c r="F208" s="243"/>
      <c r="G208" s="243"/>
      <c r="H208" s="243"/>
      <c r="I208" s="243"/>
      <c r="J208" s="234"/>
      <c r="K208" s="73"/>
      <c r="L208" s="73"/>
      <c r="M208" s="73"/>
      <c r="N208" s="73"/>
      <c r="O208" s="73"/>
      <c r="P208" s="73"/>
      <c r="Q208" s="73"/>
      <c r="R208" s="73"/>
      <c r="S208" s="73"/>
      <c r="T208" s="73"/>
      <c r="U208" s="73"/>
      <c r="V208" s="73"/>
      <c r="W208" s="73"/>
      <c r="X208" s="73"/>
      <c r="Y208" s="73"/>
      <c r="Z208" s="73"/>
      <c r="AA208" s="73"/>
      <c r="AB208" s="73"/>
      <c r="AC208" s="73"/>
    </row>
    <row r="209" spans="1:29" ht="24" customHeight="1" x14ac:dyDescent="0.55000000000000004">
      <c r="A209" s="242"/>
      <c r="E209" s="243"/>
      <c r="F209" s="243"/>
      <c r="G209" s="243"/>
      <c r="H209" s="243"/>
      <c r="I209" s="243"/>
      <c r="J209" s="234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73"/>
      <c r="X209" s="73"/>
      <c r="Y209" s="73"/>
      <c r="Z209" s="73"/>
      <c r="AA209" s="73"/>
      <c r="AB209" s="73"/>
      <c r="AC209" s="73"/>
    </row>
    <row r="210" spans="1:29" ht="24" customHeight="1" x14ac:dyDescent="0.55000000000000004">
      <c r="A210" s="242"/>
      <c r="E210" s="243"/>
      <c r="F210" s="243"/>
      <c r="G210" s="243"/>
      <c r="H210" s="243"/>
      <c r="I210" s="243"/>
      <c r="J210" s="234"/>
      <c r="K210" s="73"/>
      <c r="L210" s="73"/>
      <c r="M210" s="73"/>
      <c r="N210" s="73"/>
      <c r="O210" s="73"/>
      <c r="P210" s="73"/>
      <c r="Q210" s="73"/>
      <c r="R210" s="73"/>
      <c r="S210" s="73"/>
      <c r="T210" s="73"/>
      <c r="U210" s="73"/>
      <c r="V210" s="73"/>
      <c r="W210" s="73"/>
      <c r="X210" s="73"/>
      <c r="Y210" s="73"/>
      <c r="Z210" s="73"/>
      <c r="AA210" s="73"/>
      <c r="AB210" s="73"/>
      <c r="AC210" s="73"/>
    </row>
    <row r="211" spans="1:29" ht="24" customHeight="1" x14ac:dyDescent="0.55000000000000004">
      <c r="A211" s="242"/>
      <c r="E211" s="243"/>
      <c r="F211" s="243"/>
      <c r="G211" s="243"/>
      <c r="H211" s="243"/>
      <c r="I211" s="243"/>
      <c r="J211" s="234"/>
      <c r="K211" s="73"/>
      <c r="L211" s="73"/>
      <c r="M211" s="73"/>
      <c r="N211" s="73"/>
      <c r="O211" s="73"/>
      <c r="P211" s="73"/>
      <c r="Q211" s="73"/>
      <c r="R211" s="73"/>
      <c r="S211" s="73"/>
      <c r="T211" s="73"/>
      <c r="U211" s="73"/>
      <c r="V211" s="73"/>
      <c r="W211" s="73"/>
      <c r="X211" s="73"/>
      <c r="Y211" s="73"/>
      <c r="Z211" s="73"/>
      <c r="AA211" s="73"/>
      <c r="AB211" s="73"/>
      <c r="AC211" s="73"/>
    </row>
    <row r="212" spans="1:29" ht="24" customHeight="1" x14ac:dyDescent="0.55000000000000004">
      <c r="A212" s="242"/>
      <c r="E212" s="243"/>
      <c r="F212" s="243"/>
      <c r="G212" s="243"/>
      <c r="H212" s="243"/>
      <c r="I212" s="243"/>
      <c r="J212" s="234"/>
      <c r="K212" s="73"/>
      <c r="L212" s="73"/>
      <c r="M212" s="73"/>
      <c r="N212" s="73"/>
      <c r="O212" s="73"/>
      <c r="P212" s="73"/>
      <c r="Q212" s="73"/>
      <c r="R212" s="73"/>
      <c r="S212" s="73"/>
      <c r="T212" s="73"/>
      <c r="U212" s="73"/>
      <c r="V212" s="73"/>
      <c r="W212" s="73"/>
      <c r="X212" s="73"/>
      <c r="Y212" s="73"/>
      <c r="Z212" s="73"/>
      <c r="AA212" s="73"/>
      <c r="AB212" s="73"/>
      <c r="AC212" s="73"/>
    </row>
    <row r="213" spans="1:29" ht="24" customHeight="1" x14ac:dyDescent="0.55000000000000004">
      <c r="A213" s="242"/>
      <c r="E213" s="243"/>
      <c r="F213" s="243"/>
      <c r="G213" s="243"/>
      <c r="H213" s="243"/>
      <c r="I213" s="243"/>
      <c r="J213" s="234"/>
      <c r="K213" s="73"/>
      <c r="L213" s="73"/>
      <c r="M213" s="73"/>
      <c r="N213" s="73"/>
      <c r="O213" s="73"/>
      <c r="P213" s="73"/>
      <c r="Q213" s="73"/>
      <c r="R213" s="73"/>
      <c r="S213" s="73"/>
      <c r="T213" s="73"/>
      <c r="U213" s="73"/>
      <c r="V213" s="73"/>
      <c r="W213" s="73"/>
      <c r="X213" s="73"/>
      <c r="Y213" s="73"/>
      <c r="Z213" s="73"/>
      <c r="AA213" s="73"/>
      <c r="AB213" s="73"/>
      <c r="AC213" s="73"/>
    </row>
    <row r="214" spans="1:29" ht="24" customHeight="1" x14ac:dyDescent="0.55000000000000004">
      <c r="A214" s="242"/>
      <c r="E214" s="243"/>
      <c r="F214" s="243"/>
      <c r="G214" s="243"/>
      <c r="H214" s="243"/>
      <c r="I214" s="243"/>
      <c r="J214" s="234"/>
      <c r="K214" s="73"/>
      <c r="L214" s="73"/>
      <c r="M214" s="73"/>
      <c r="N214" s="73"/>
      <c r="O214" s="73"/>
      <c r="P214" s="73"/>
      <c r="Q214" s="73"/>
      <c r="R214" s="73"/>
      <c r="S214" s="73"/>
      <c r="T214" s="73"/>
      <c r="U214" s="73"/>
      <c r="V214" s="73"/>
      <c r="W214" s="73"/>
      <c r="X214" s="73"/>
      <c r="Y214" s="73"/>
      <c r="Z214" s="73"/>
      <c r="AA214" s="73"/>
      <c r="AB214" s="73"/>
      <c r="AC214" s="73"/>
    </row>
    <row r="215" spans="1:29" ht="24" customHeight="1" x14ac:dyDescent="0.55000000000000004">
      <c r="A215" s="242"/>
      <c r="E215" s="243"/>
      <c r="F215" s="243"/>
      <c r="G215" s="243"/>
      <c r="H215" s="243"/>
      <c r="I215" s="243"/>
      <c r="J215" s="234"/>
      <c r="K215" s="73"/>
      <c r="L215" s="73"/>
      <c r="M215" s="73"/>
      <c r="N215" s="73"/>
      <c r="O215" s="73"/>
      <c r="P215" s="73"/>
      <c r="Q215" s="73"/>
      <c r="R215" s="73"/>
      <c r="S215" s="73"/>
      <c r="T215" s="73"/>
      <c r="U215" s="73"/>
      <c r="V215" s="73"/>
      <c r="W215" s="73"/>
      <c r="X215" s="73"/>
      <c r="Y215" s="73"/>
      <c r="Z215" s="73"/>
      <c r="AA215" s="73"/>
      <c r="AB215" s="73"/>
      <c r="AC215" s="73"/>
    </row>
    <row r="216" spans="1:29" ht="24" customHeight="1" x14ac:dyDescent="0.55000000000000004">
      <c r="A216" s="242"/>
      <c r="E216" s="243"/>
      <c r="F216" s="243"/>
      <c r="G216" s="243"/>
      <c r="H216" s="243"/>
      <c r="I216" s="243"/>
      <c r="J216" s="234"/>
      <c r="K216" s="73"/>
      <c r="L216" s="73"/>
      <c r="M216" s="73"/>
      <c r="N216" s="73"/>
      <c r="O216" s="73"/>
      <c r="P216" s="73"/>
      <c r="Q216" s="73"/>
      <c r="R216" s="73"/>
      <c r="S216" s="73"/>
      <c r="T216" s="73"/>
      <c r="U216" s="73"/>
      <c r="V216" s="73"/>
      <c r="W216" s="73"/>
      <c r="X216" s="73"/>
      <c r="Y216" s="73"/>
      <c r="Z216" s="73"/>
      <c r="AA216" s="73"/>
      <c r="AB216" s="73"/>
      <c r="AC216" s="73"/>
    </row>
    <row r="217" spans="1:29" ht="24" customHeight="1" x14ac:dyDescent="0.55000000000000004">
      <c r="A217" s="242"/>
      <c r="E217" s="243"/>
      <c r="F217" s="243"/>
      <c r="G217" s="243"/>
      <c r="H217" s="243"/>
      <c r="I217" s="243"/>
      <c r="J217" s="234"/>
      <c r="K217" s="73"/>
      <c r="L217" s="73"/>
      <c r="M217" s="73"/>
      <c r="N217" s="73"/>
      <c r="O217" s="73"/>
      <c r="P217" s="73"/>
      <c r="Q217" s="73"/>
      <c r="R217" s="73"/>
      <c r="S217" s="73"/>
      <c r="T217" s="73"/>
      <c r="U217" s="73"/>
      <c r="V217" s="73"/>
      <c r="W217" s="73"/>
      <c r="X217" s="73"/>
      <c r="Y217" s="73"/>
      <c r="Z217" s="73"/>
      <c r="AA217" s="73"/>
      <c r="AB217" s="73"/>
      <c r="AC217" s="73"/>
    </row>
    <row r="218" spans="1:29" ht="24" customHeight="1" x14ac:dyDescent="0.55000000000000004">
      <c r="A218" s="242"/>
      <c r="E218" s="243"/>
      <c r="F218" s="243"/>
      <c r="G218" s="243"/>
      <c r="H218" s="243"/>
      <c r="I218" s="243"/>
      <c r="J218" s="234"/>
      <c r="K218" s="73"/>
      <c r="L218" s="73"/>
      <c r="M218" s="73"/>
      <c r="N218" s="73"/>
      <c r="O218" s="73"/>
      <c r="P218" s="73"/>
      <c r="Q218" s="73"/>
      <c r="R218" s="73"/>
      <c r="S218" s="73"/>
      <c r="T218" s="73"/>
      <c r="U218" s="73"/>
      <c r="V218" s="73"/>
      <c r="W218" s="73"/>
      <c r="X218" s="73"/>
      <c r="Y218" s="73"/>
      <c r="Z218" s="73"/>
      <c r="AA218" s="73"/>
      <c r="AB218" s="73"/>
      <c r="AC218" s="73"/>
    </row>
    <row r="219" spans="1:29" ht="24" customHeight="1" x14ac:dyDescent="0.55000000000000004">
      <c r="A219" s="242"/>
      <c r="E219" s="243"/>
      <c r="F219" s="243"/>
      <c r="G219" s="243"/>
      <c r="H219" s="243"/>
      <c r="I219" s="243"/>
      <c r="J219" s="234"/>
      <c r="K219" s="73"/>
      <c r="L219" s="73"/>
      <c r="M219" s="73"/>
      <c r="N219" s="73"/>
      <c r="O219" s="73"/>
      <c r="P219" s="73"/>
      <c r="Q219" s="73"/>
      <c r="R219" s="73"/>
      <c r="S219" s="73"/>
      <c r="T219" s="73"/>
      <c r="U219" s="73"/>
      <c r="V219" s="73"/>
      <c r="W219" s="73"/>
      <c r="X219" s="73"/>
      <c r="Y219" s="73"/>
      <c r="Z219" s="73"/>
      <c r="AA219" s="73"/>
      <c r="AB219" s="73"/>
      <c r="AC219" s="73"/>
    </row>
    <row r="220" spans="1:29" ht="24" customHeight="1" x14ac:dyDescent="0.55000000000000004">
      <c r="A220" s="242"/>
      <c r="E220" s="243"/>
      <c r="F220" s="243"/>
      <c r="G220" s="243"/>
      <c r="H220" s="243"/>
      <c r="I220" s="243"/>
      <c r="J220" s="234"/>
      <c r="K220" s="73"/>
      <c r="L220" s="73"/>
      <c r="M220" s="73"/>
      <c r="N220" s="73"/>
      <c r="O220" s="73"/>
      <c r="P220" s="73"/>
      <c r="Q220" s="73"/>
      <c r="R220" s="73"/>
      <c r="S220" s="73"/>
      <c r="T220" s="73"/>
      <c r="U220" s="73"/>
      <c r="V220" s="73"/>
      <c r="W220" s="73"/>
      <c r="X220" s="73"/>
      <c r="Y220" s="73"/>
      <c r="Z220" s="73"/>
      <c r="AA220" s="73"/>
      <c r="AB220" s="73"/>
      <c r="AC220" s="73"/>
    </row>
    <row r="221" spans="1:29" ht="24" customHeight="1" x14ac:dyDescent="0.55000000000000004">
      <c r="A221" s="242"/>
      <c r="E221" s="243"/>
      <c r="F221" s="243"/>
      <c r="G221" s="243"/>
      <c r="H221" s="243"/>
      <c r="I221" s="243"/>
      <c r="J221" s="234"/>
      <c r="K221" s="73"/>
      <c r="L221" s="73"/>
      <c r="M221" s="73"/>
      <c r="N221" s="73"/>
      <c r="O221" s="73"/>
      <c r="P221" s="73"/>
      <c r="Q221" s="73"/>
      <c r="R221" s="73"/>
      <c r="S221" s="73"/>
      <c r="T221" s="73"/>
      <c r="U221" s="73"/>
      <c r="V221" s="73"/>
      <c r="W221" s="73"/>
      <c r="X221" s="73"/>
      <c r="Y221" s="73"/>
      <c r="Z221" s="73"/>
      <c r="AA221" s="73"/>
      <c r="AB221" s="73"/>
      <c r="AC221" s="73"/>
    </row>
    <row r="222" spans="1:29" ht="24" customHeight="1" x14ac:dyDescent="0.55000000000000004">
      <c r="A222" s="242"/>
      <c r="E222" s="243"/>
      <c r="F222" s="243"/>
      <c r="G222" s="243"/>
      <c r="H222" s="243"/>
      <c r="I222" s="243"/>
      <c r="J222" s="234"/>
      <c r="K222" s="73"/>
      <c r="L222" s="73"/>
      <c r="M222" s="73"/>
      <c r="N222" s="73"/>
      <c r="O222" s="73"/>
      <c r="P222" s="73"/>
      <c r="Q222" s="73"/>
      <c r="R222" s="73"/>
      <c r="S222" s="73"/>
      <c r="T222" s="73"/>
      <c r="U222" s="73"/>
      <c r="V222" s="73"/>
      <c r="W222" s="73"/>
      <c r="X222" s="73"/>
      <c r="Y222" s="73"/>
      <c r="Z222" s="73"/>
      <c r="AA222" s="73"/>
      <c r="AB222" s="73"/>
      <c r="AC222" s="73"/>
    </row>
    <row r="223" spans="1:29" ht="24" customHeight="1" x14ac:dyDescent="0.55000000000000004">
      <c r="A223" s="242"/>
      <c r="E223" s="243"/>
      <c r="F223" s="243"/>
      <c r="G223" s="243"/>
      <c r="H223" s="243"/>
      <c r="I223" s="243"/>
      <c r="J223" s="234"/>
      <c r="K223" s="73"/>
      <c r="L223" s="73"/>
      <c r="M223" s="73"/>
      <c r="N223" s="73"/>
      <c r="O223" s="73"/>
      <c r="P223" s="73"/>
      <c r="Q223" s="73"/>
      <c r="R223" s="73"/>
      <c r="S223" s="73"/>
      <c r="T223" s="73"/>
      <c r="U223" s="73"/>
      <c r="V223" s="73"/>
      <c r="W223" s="73"/>
      <c r="X223" s="73"/>
      <c r="Y223" s="73"/>
      <c r="Z223" s="73"/>
      <c r="AA223" s="73"/>
      <c r="AB223" s="73"/>
      <c r="AC223" s="73"/>
    </row>
    <row r="224" spans="1:29" ht="24" customHeight="1" x14ac:dyDescent="0.55000000000000004">
      <c r="A224" s="242"/>
      <c r="E224" s="243"/>
      <c r="F224" s="243"/>
      <c r="G224" s="243"/>
      <c r="H224" s="243"/>
      <c r="I224" s="243"/>
      <c r="J224" s="234"/>
      <c r="K224" s="73"/>
      <c r="L224" s="73"/>
      <c r="M224" s="73"/>
      <c r="N224" s="73"/>
      <c r="O224" s="73"/>
      <c r="P224" s="73"/>
      <c r="Q224" s="73"/>
      <c r="R224" s="73"/>
      <c r="S224" s="73"/>
      <c r="T224" s="73"/>
      <c r="U224" s="73"/>
      <c r="V224" s="73"/>
      <c r="W224" s="73"/>
      <c r="X224" s="73"/>
      <c r="Y224" s="73"/>
      <c r="Z224" s="73"/>
      <c r="AA224" s="73"/>
      <c r="AB224" s="73"/>
      <c r="AC224" s="73"/>
    </row>
    <row r="225" spans="1:29" ht="24" customHeight="1" x14ac:dyDescent="0.55000000000000004">
      <c r="A225" s="242"/>
      <c r="E225" s="243"/>
      <c r="F225" s="243"/>
      <c r="G225" s="243"/>
      <c r="H225" s="243"/>
      <c r="I225" s="243"/>
      <c r="J225" s="234"/>
      <c r="K225" s="73"/>
      <c r="L225" s="73"/>
      <c r="M225" s="73"/>
      <c r="N225" s="73"/>
      <c r="O225" s="73"/>
      <c r="P225" s="73"/>
      <c r="Q225" s="73"/>
      <c r="R225" s="73"/>
      <c r="S225" s="73"/>
      <c r="T225" s="73"/>
      <c r="U225" s="73"/>
      <c r="V225" s="73"/>
      <c r="W225" s="73"/>
      <c r="X225" s="73"/>
      <c r="Y225" s="73"/>
      <c r="Z225" s="73"/>
      <c r="AA225" s="73"/>
      <c r="AB225" s="73"/>
      <c r="AC225" s="73"/>
    </row>
    <row r="226" spans="1:29" ht="24" customHeight="1" x14ac:dyDescent="0.55000000000000004">
      <c r="A226" s="242"/>
      <c r="E226" s="243"/>
      <c r="F226" s="243"/>
      <c r="G226" s="243"/>
      <c r="H226" s="243"/>
      <c r="I226" s="243"/>
      <c r="J226" s="234"/>
      <c r="K226" s="73"/>
      <c r="L226" s="73"/>
      <c r="M226" s="73"/>
      <c r="N226" s="73"/>
      <c r="O226" s="73"/>
      <c r="P226" s="73"/>
      <c r="Q226" s="73"/>
      <c r="R226" s="73"/>
      <c r="S226" s="73"/>
      <c r="T226" s="73"/>
      <c r="U226" s="73"/>
      <c r="V226" s="73"/>
      <c r="W226" s="73"/>
      <c r="X226" s="73"/>
      <c r="Y226" s="73"/>
      <c r="Z226" s="73"/>
      <c r="AA226" s="73"/>
      <c r="AB226" s="73"/>
      <c r="AC226" s="73"/>
    </row>
    <row r="227" spans="1:29" ht="24" customHeight="1" x14ac:dyDescent="0.55000000000000004">
      <c r="A227" s="242"/>
      <c r="E227" s="243"/>
      <c r="F227" s="243"/>
      <c r="G227" s="243"/>
      <c r="H227" s="243"/>
      <c r="I227" s="243"/>
      <c r="J227" s="234"/>
      <c r="K227" s="73"/>
      <c r="L227" s="73"/>
      <c r="M227" s="73"/>
      <c r="N227" s="73"/>
      <c r="O227" s="73"/>
      <c r="P227" s="73"/>
      <c r="Q227" s="73"/>
      <c r="R227" s="73"/>
      <c r="S227" s="73"/>
      <c r="T227" s="73"/>
      <c r="U227" s="73"/>
      <c r="V227" s="73"/>
      <c r="W227" s="73"/>
      <c r="X227" s="73"/>
      <c r="Y227" s="73"/>
      <c r="Z227" s="73"/>
      <c r="AA227" s="73"/>
      <c r="AB227" s="73"/>
      <c r="AC227" s="73"/>
    </row>
    <row r="228" spans="1:29" ht="24" customHeight="1" x14ac:dyDescent="0.55000000000000004">
      <c r="A228" s="242"/>
      <c r="E228" s="243"/>
      <c r="F228" s="243"/>
      <c r="G228" s="243"/>
      <c r="H228" s="243"/>
      <c r="I228" s="243"/>
      <c r="J228" s="234"/>
      <c r="K228" s="73"/>
      <c r="L228" s="73"/>
      <c r="M228" s="73"/>
      <c r="N228" s="73"/>
      <c r="O228" s="73"/>
      <c r="P228" s="73"/>
      <c r="Q228" s="73"/>
      <c r="R228" s="73"/>
      <c r="S228" s="73"/>
      <c r="T228" s="73"/>
      <c r="U228" s="73"/>
      <c r="V228" s="73"/>
      <c r="W228" s="73"/>
      <c r="X228" s="73"/>
      <c r="Y228" s="73"/>
      <c r="Z228" s="73"/>
      <c r="AA228" s="73"/>
      <c r="AB228" s="73"/>
      <c r="AC228" s="73"/>
    </row>
    <row r="229" spans="1:29" ht="24" customHeight="1" x14ac:dyDescent="0.55000000000000004">
      <c r="A229" s="242"/>
      <c r="E229" s="243"/>
      <c r="F229" s="243"/>
      <c r="G229" s="243"/>
      <c r="H229" s="243"/>
      <c r="I229" s="243"/>
      <c r="J229" s="234"/>
      <c r="K229" s="73"/>
      <c r="L229" s="73"/>
      <c r="M229" s="73"/>
      <c r="N229" s="73"/>
      <c r="O229" s="73"/>
      <c r="P229" s="73"/>
      <c r="Q229" s="73"/>
      <c r="R229" s="73"/>
      <c r="S229" s="73"/>
      <c r="T229" s="73"/>
      <c r="U229" s="73"/>
      <c r="V229" s="73"/>
      <c r="W229" s="73"/>
      <c r="X229" s="73"/>
      <c r="Y229" s="73"/>
      <c r="Z229" s="73"/>
      <c r="AA229" s="73"/>
      <c r="AB229" s="73"/>
      <c r="AC229" s="73"/>
    </row>
    <row r="230" spans="1:29" ht="24" customHeight="1" x14ac:dyDescent="0.55000000000000004">
      <c r="A230" s="242"/>
      <c r="E230" s="243"/>
      <c r="F230" s="243"/>
      <c r="G230" s="243"/>
      <c r="H230" s="243"/>
      <c r="I230" s="243"/>
      <c r="J230" s="234"/>
      <c r="K230" s="73"/>
      <c r="L230" s="73"/>
      <c r="M230" s="73"/>
      <c r="N230" s="73"/>
      <c r="O230" s="73"/>
      <c r="P230" s="73"/>
      <c r="Q230" s="73"/>
      <c r="R230" s="73"/>
      <c r="S230" s="73"/>
      <c r="T230" s="73"/>
      <c r="U230" s="73"/>
      <c r="V230" s="73"/>
      <c r="W230" s="73"/>
      <c r="X230" s="73"/>
      <c r="Y230" s="73"/>
      <c r="Z230" s="73"/>
      <c r="AA230" s="73"/>
      <c r="AB230" s="73"/>
      <c r="AC230" s="73"/>
    </row>
    <row r="231" spans="1:29" ht="24" customHeight="1" x14ac:dyDescent="0.55000000000000004">
      <c r="A231" s="242"/>
      <c r="E231" s="243"/>
      <c r="F231" s="243"/>
      <c r="G231" s="243"/>
      <c r="H231" s="243"/>
      <c r="I231" s="243"/>
      <c r="J231" s="234"/>
      <c r="K231" s="73"/>
      <c r="L231" s="73"/>
      <c r="M231" s="73"/>
      <c r="N231" s="73"/>
      <c r="O231" s="73"/>
      <c r="P231" s="73"/>
      <c r="Q231" s="73"/>
      <c r="R231" s="73"/>
      <c r="S231" s="73"/>
      <c r="T231" s="73"/>
      <c r="U231" s="73"/>
      <c r="V231" s="73"/>
      <c r="W231" s="73"/>
      <c r="X231" s="73"/>
      <c r="Y231" s="73"/>
      <c r="Z231" s="73"/>
      <c r="AA231" s="73"/>
      <c r="AB231" s="73"/>
      <c r="AC231" s="73"/>
    </row>
    <row r="232" spans="1:29" ht="24" customHeight="1" x14ac:dyDescent="0.55000000000000004">
      <c r="A232" s="242"/>
      <c r="E232" s="243"/>
      <c r="F232" s="243"/>
      <c r="G232" s="243"/>
      <c r="H232" s="243"/>
      <c r="I232" s="243"/>
      <c r="J232" s="234"/>
      <c r="K232" s="73"/>
      <c r="L232" s="73"/>
      <c r="M232" s="73"/>
      <c r="N232" s="73"/>
      <c r="O232" s="73"/>
      <c r="P232" s="73"/>
      <c r="Q232" s="73"/>
      <c r="R232" s="73"/>
      <c r="S232" s="73"/>
      <c r="T232" s="73"/>
      <c r="U232" s="73"/>
      <c r="V232" s="73"/>
      <c r="W232" s="73"/>
      <c r="X232" s="73"/>
      <c r="Y232" s="73"/>
      <c r="Z232" s="73"/>
      <c r="AA232" s="73"/>
      <c r="AB232" s="73"/>
      <c r="AC232" s="73"/>
    </row>
    <row r="233" spans="1:29" ht="24" customHeight="1" x14ac:dyDescent="0.55000000000000004">
      <c r="A233" s="242"/>
      <c r="E233" s="243"/>
      <c r="F233" s="243"/>
      <c r="G233" s="243"/>
      <c r="H233" s="243"/>
      <c r="I233" s="243"/>
      <c r="J233" s="234"/>
      <c r="K233" s="73"/>
      <c r="L233" s="73"/>
      <c r="M233" s="73"/>
      <c r="N233" s="73"/>
      <c r="O233" s="73"/>
      <c r="P233" s="73"/>
      <c r="Q233" s="73"/>
      <c r="R233" s="73"/>
      <c r="S233" s="73"/>
      <c r="T233" s="73"/>
      <c r="U233" s="73"/>
      <c r="V233" s="73"/>
      <c r="W233" s="73"/>
      <c r="X233" s="73"/>
      <c r="Y233" s="73"/>
      <c r="Z233" s="73"/>
      <c r="AA233" s="73"/>
      <c r="AB233" s="73"/>
      <c r="AC233" s="73"/>
    </row>
    <row r="234" spans="1:29" ht="24" customHeight="1" x14ac:dyDescent="0.55000000000000004">
      <c r="A234" s="242"/>
      <c r="E234" s="243"/>
      <c r="F234" s="243"/>
      <c r="G234" s="243"/>
      <c r="H234" s="243"/>
      <c r="I234" s="243"/>
      <c r="J234" s="234"/>
      <c r="K234" s="73"/>
      <c r="L234" s="73"/>
      <c r="M234" s="73"/>
      <c r="N234" s="73"/>
      <c r="O234" s="73"/>
      <c r="P234" s="73"/>
      <c r="Q234" s="73"/>
      <c r="R234" s="73"/>
      <c r="S234" s="73"/>
      <c r="T234" s="73"/>
      <c r="U234" s="73"/>
      <c r="V234" s="73"/>
      <c r="W234" s="73"/>
      <c r="X234" s="73"/>
      <c r="Y234" s="73"/>
      <c r="Z234" s="73"/>
      <c r="AA234" s="73"/>
      <c r="AB234" s="73"/>
      <c r="AC234" s="73"/>
    </row>
    <row r="235" spans="1:29" ht="24" customHeight="1" x14ac:dyDescent="0.55000000000000004">
      <c r="A235" s="242"/>
      <c r="E235" s="243"/>
      <c r="F235" s="243"/>
      <c r="G235" s="243"/>
      <c r="H235" s="243"/>
      <c r="I235" s="243"/>
      <c r="J235" s="234"/>
      <c r="K235" s="73"/>
      <c r="L235" s="73"/>
      <c r="M235" s="73"/>
      <c r="N235" s="73"/>
      <c r="O235" s="73"/>
      <c r="P235" s="73"/>
      <c r="Q235" s="73"/>
      <c r="R235" s="73"/>
      <c r="S235" s="73"/>
      <c r="T235" s="73"/>
      <c r="U235" s="73"/>
      <c r="V235" s="73"/>
      <c r="W235" s="73"/>
      <c r="X235" s="73"/>
      <c r="Y235" s="73"/>
      <c r="Z235" s="73"/>
      <c r="AA235" s="73"/>
      <c r="AB235" s="73"/>
      <c r="AC235" s="73"/>
    </row>
    <row r="236" spans="1:29" ht="24" customHeight="1" x14ac:dyDescent="0.55000000000000004">
      <c r="A236" s="242"/>
      <c r="E236" s="243"/>
      <c r="F236" s="243"/>
      <c r="G236" s="243"/>
      <c r="H236" s="243"/>
      <c r="I236" s="243"/>
      <c r="J236" s="234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73"/>
      <c r="AA236" s="73"/>
      <c r="AB236" s="73"/>
      <c r="AC236" s="73"/>
    </row>
    <row r="237" spans="1:29" ht="24" customHeight="1" x14ac:dyDescent="0.55000000000000004">
      <c r="A237" s="242"/>
      <c r="E237" s="243"/>
      <c r="F237" s="243"/>
      <c r="G237" s="243"/>
      <c r="H237" s="243"/>
      <c r="I237" s="243"/>
      <c r="J237" s="234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73"/>
      <c r="AA237" s="73"/>
      <c r="AB237" s="73"/>
      <c r="AC237" s="73"/>
    </row>
    <row r="238" spans="1:29" ht="24" customHeight="1" x14ac:dyDescent="0.55000000000000004">
      <c r="A238" s="242"/>
      <c r="E238" s="243"/>
      <c r="F238" s="243"/>
      <c r="G238" s="243"/>
      <c r="H238" s="243"/>
      <c r="I238" s="243"/>
      <c r="J238" s="234"/>
      <c r="K238" s="73"/>
      <c r="L238" s="73"/>
      <c r="M238" s="73"/>
      <c r="N238" s="73"/>
      <c r="O238" s="73"/>
      <c r="P238" s="73"/>
      <c r="Q238" s="73"/>
      <c r="R238" s="73"/>
      <c r="S238" s="73"/>
      <c r="T238" s="73"/>
      <c r="U238" s="73"/>
      <c r="V238" s="73"/>
      <c r="W238" s="73"/>
      <c r="X238" s="73"/>
      <c r="Y238" s="73"/>
      <c r="Z238" s="73"/>
      <c r="AA238" s="73"/>
      <c r="AB238" s="73"/>
      <c r="AC238" s="73"/>
    </row>
    <row r="239" spans="1:29" ht="24" customHeight="1" x14ac:dyDescent="0.55000000000000004">
      <c r="A239" s="242"/>
      <c r="E239" s="243"/>
      <c r="F239" s="243"/>
      <c r="G239" s="243"/>
      <c r="H239" s="243"/>
      <c r="I239" s="243"/>
      <c r="J239" s="234"/>
      <c r="K239" s="73"/>
      <c r="L239" s="73"/>
      <c r="M239" s="73"/>
      <c r="N239" s="73"/>
      <c r="O239" s="73"/>
      <c r="P239" s="73"/>
      <c r="Q239" s="73"/>
      <c r="R239" s="73"/>
      <c r="S239" s="73"/>
      <c r="T239" s="73"/>
      <c r="U239" s="73"/>
      <c r="V239" s="73"/>
      <c r="W239" s="73"/>
      <c r="X239" s="73"/>
      <c r="Y239" s="73"/>
      <c r="Z239" s="73"/>
      <c r="AA239" s="73"/>
      <c r="AB239" s="73"/>
      <c r="AC239" s="73"/>
    </row>
    <row r="240" spans="1:29" ht="24" customHeight="1" x14ac:dyDescent="0.55000000000000004">
      <c r="A240" s="242"/>
      <c r="E240" s="243"/>
      <c r="F240" s="243"/>
      <c r="G240" s="243"/>
      <c r="H240" s="243"/>
      <c r="I240" s="243"/>
      <c r="J240" s="234"/>
      <c r="K240" s="73"/>
      <c r="L240" s="73"/>
      <c r="M240" s="73"/>
      <c r="N240" s="73"/>
      <c r="O240" s="73"/>
      <c r="P240" s="73"/>
      <c r="Q240" s="73"/>
      <c r="R240" s="73"/>
      <c r="S240" s="73"/>
      <c r="T240" s="73"/>
      <c r="U240" s="73"/>
      <c r="V240" s="73"/>
      <c r="W240" s="73"/>
      <c r="X240" s="73"/>
      <c r="Y240" s="73"/>
      <c r="Z240" s="73"/>
      <c r="AA240" s="73"/>
      <c r="AB240" s="73"/>
      <c r="AC240" s="73"/>
    </row>
    <row r="241" spans="1:29" ht="24" customHeight="1" x14ac:dyDescent="0.55000000000000004">
      <c r="A241" s="242"/>
      <c r="E241" s="243"/>
      <c r="F241" s="243"/>
      <c r="G241" s="243"/>
      <c r="H241" s="243"/>
      <c r="I241" s="243"/>
      <c r="J241" s="234"/>
      <c r="K241" s="73"/>
      <c r="L241" s="73"/>
      <c r="M241" s="73"/>
      <c r="N241" s="73"/>
      <c r="O241" s="73"/>
      <c r="P241" s="73"/>
      <c r="Q241" s="73"/>
      <c r="R241" s="73"/>
      <c r="S241" s="73"/>
      <c r="T241" s="73"/>
      <c r="U241" s="73"/>
      <c r="V241" s="73"/>
      <c r="W241" s="73"/>
      <c r="X241" s="73"/>
      <c r="Y241" s="73"/>
      <c r="Z241" s="73"/>
      <c r="AA241" s="73"/>
      <c r="AB241" s="73"/>
      <c r="AC241" s="73"/>
    </row>
    <row r="242" spans="1:29" ht="24" customHeight="1" x14ac:dyDescent="0.55000000000000004">
      <c r="A242" s="242"/>
      <c r="E242" s="243"/>
      <c r="F242" s="243"/>
      <c r="G242" s="243"/>
      <c r="H242" s="243"/>
      <c r="I242" s="243"/>
      <c r="J242" s="234"/>
      <c r="K242" s="73"/>
      <c r="L242" s="73"/>
      <c r="M242" s="73"/>
      <c r="N242" s="73"/>
      <c r="O242" s="73"/>
      <c r="P242" s="73"/>
      <c r="Q242" s="73"/>
      <c r="R242" s="73"/>
      <c r="S242" s="73"/>
      <c r="T242" s="73"/>
      <c r="U242" s="73"/>
      <c r="V242" s="73"/>
      <c r="W242" s="73"/>
      <c r="X242" s="73"/>
      <c r="Y242" s="73"/>
      <c r="Z242" s="73"/>
      <c r="AA242" s="73"/>
      <c r="AB242" s="73"/>
      <c r="AC242" s="73"/>
    </row>
    <row r="243" spans="1:29" ht="24" customHeight="1" x14ac:dyDescent="0.55000000000000004">
      <c r="A243" s="242"/>
      <c r="E243" s="243"/>
      <c r="F243" s="243"/>
      <c r="G243" s="243"/>
      <c r="H243" s="243"/>
      <c r="I243" s="243"/>
      <c r="J243" s="234"/>
      <c r="K243" s="73"/>
      <c r="L243" s="73"/>
      <c r="M243" s="73"/>
      <c r="N243" s="73"/>
      <c r="O243" s="73"/>
      <c r="P243" s="73"/>
      <c r="Q243" s="73"/>
      <c r="R243" s="73"/>
      <c r="S243" s="73"/>
      <c r="T243" s="73"/>
      <c r="U243" s="73"/>
      <c r="V243" s="73"/>
      <c r="W243" s="73"/>
      <c r="X243" s="73"/>
      <c r="Y243" s="73"/>
      <c r="Z243" s="73"/>
      <c r="AA243" s="73"/>
      <c r="AB243" s="73"/>
      <c r="AC243" s="73"/>
    </row>
    <row r="244" spans="1:29" ht="24" customHeight="1" x14ac:dyDescent="0.55000000000000004">
      <c r="A244" s="242"/>
      <c r="E244" s="243"/>
      <c r="F244" s="243"/>
      <c r="G244" s="243"/>
      <c r="H244" s="243"/>
      <c r="I244" s="243"/>
      <c r="J244" s="234"/>
      <c r="K244" s="73"/>
      <c r="L244" s="73"/>
      <c r="M244" s="73"/>
      <c r="N244" s="73"/>
      <c r="O244" s="73"/>
      <c r="P244" s="73"/>
      <c r="Q244" s="73"/>
      <c r="R244" s="73"/>
      <c r="S244" s="73"/>
      <c r="T244" s="73"/>
      <c r="U244" s="73"/>
      <c r="V244" s="73"/>
      <c r="W244" s="73"/>
      <c r="X244" s="73"/>
      <c r="Y244" s="73"/>
      <c r="Z244" s="73"/>
      <c r="AA244" s="73"/>
      <c r="AB244" s="73"/>
      <c r="AC244" s="73"/>
    </row>
    <row r="245" spans="1:29" ht="24" customHeight="1" x14ac:dyDescent="0.55000000000000004">
      <c r="A245" s="242"/>
      <c r="E245" s="243"/>
      <c r="F245" s="243"/>
      <c r="G245" s="243"/>
      <c r="H245" s="243"/>
      <c r="I245" s="243"/>
      <c r="J245" s="234"/>
      <c r="K245" s="73"/>
      <c r="L245" s="73"/>
      <c r="M245" s="73"/>
      <c r="N245" s="73"/>
      <c r="O245" s="73"/>
      <c r="P245" s="73"/>
      <c r="Q245" s="73"/>
      <c r="R245" s="73"/>
      <c r="S245" s="73"/>
      <c r="T245" s="73"/>
      <c r="U245" s="73"/>
      <c r="V245" s="73"/>
      <c r="W245" s="73"/>
      <c r="X245" s="73"/>
      <c r="Y245" s="73"/>
      <c r="Z245" s="73"/>
      <c r="AA245" s="73"/>
      <c r="AB245" s="73"/>
      <c r="AC245" s="73"/>
    </row>
    <row r="246" spans="1:29" ht="24" customHeight="1" x14ac:dyDescent="0.55000000000000004">
      <c r="A246" s="242"/>
      <c r="E246" s="243"/>
      <c r="F246" s="243"/>
      <c r="G246" s="243"/>
      <c r="H246" s="243"/>
      <c r="I246" s="243"/>
      <c r="J246" s="234"/>
      <c r="K246" s="73"/>
      <c r="L246" s="73"/>
      <c r="M246" s="73"/>
      <c r="N246" s="73"/>
      <c r="O246" s="73"/>
      <c r="P246" s="73"/>
      <c r="Q246" s="73"/>
      <c r="R246" s="73"/>
      <c r="S246" s="73"/>
      <c r="T246" s="73"/>
      <c r="U246" s="73"/>
      <c r="V246" s="73"/>
      <c r="W246" s="73"/>
      <c r="X246" s="73"/>
      <c r="Y246" s="73"/>
      <c r="Z246" s="73"/>
      <c r="AA246" s="73"/>
      <c r="AB246" s="73"/>
      <c r="AC246" s="73"/>
    </row>
    <row r="247" spans="1:29" ht="24" customHeight="1" x14ac:dyDescent="0.55000000000000004">
      <c r="A247" s="242"/>
      <c r="E247" s="243"/>
      <c r="F247" s="243"/>
      <c r="G247" s="243"/>
      <c r="H247" s="243"/>
      <c r="I247" s="243"/>
      <c r="J247" s="234"/>
      <c r="K247" s="73"/>
      <c r="L247" s="73"/>
      <c r="M247" s="73"/>
      <c r="N247" s="73"/>
      <c r="O247" s="73"/>
      <c r="P247" s="73"/>
      <c r="Q247" s="73"/>
      <c r="R247" s="73"/>
      <c r="S247" s="73"/>
      <c r="T247" s="73"/>
      <c r="U247" s="73"/>
      <c r="V247" s="73"/>
      <c r="W247" s="73"/>
      <c r="X247" s="73"/>
      <c r="Y247" s="73"/>
      <c r="Z247" s="73"/>
      <c r="AA247" s="73"/>
      <c r="AB247" s="73"/>
      <c r="AC247" s="73"/>
    </row>
    <row r="248" spans="1:29" ht="24" customHeight="1" x14ac:dyDescent="0.55000000000000004">
      <c r="A248" s="242"/>
      <c r="E248" s="243"/>
      <c r="F248" s="243"/>
      <c r="G248" s="243"/>
      <c r="H248" s="243"/>
      <c r="I248" s="243"/>
      <c r="J248" s="234"/>
      <c r="K248" s="73"/>
      <c r="L248" s="73"/>
      <c r="M248" s="73"/>
      <c r="N248" s="73"/>
      <c r="O248" s="73"/>
      <c r="P248" s="73"/>
      <c r="Q248" s="73"/>
      <c r="R248" s="73"/>
      <c r="S248" s="73"/>
      <c r="T248" s="73"/>
      <c r="U248" s="73"/>
      <c r="V248" s="73"/>
      <c r="W248" s="73"/>
      <c r="X248" s="73"/>
      <c r="Y248" s="73"/>
      <c r="Z248" s="73"/>
      <c r="AA248" s="73"/>
      <c r="AB248" s="73"/>
      <c r="AC248" s="73"/>
    </row>
    <row r="249" spans="1:29" ht="24" customHeight="1" x14ac:dyDescent="0.55000000000000004">
      <c r="A249" s="242"/>
      <c r="E249" s="243"/>
      <c r="F249" s="243"/>
      <c r="G249" s="243"/>
      <c r="H249" s="243"/>
      <c r="I249" s="243"/>
      <c r="J249" s="234"/>
      <c r="K249" s="73"/>
      <c r="L249" s="73"/>
      <c r="M249" s="73"/>
      <c r="N249" s="73"/>
      <c r="O249" s="73"/>
      <c r="P249" s="73"/>
      <c r="Q249" s="73"/>
      <c r="R249" s="73"/>
      <c r="S249" s="73"/>
      <c r="T249" s="73"/>
      <c r="U249" s="73"/>
      <c r="V249" s="73"/>
      <c r="W249" s="73"/>
      <c r="X249" s="73"/>
      <c r="Y249" s="73"/>
      <c r="Z249" s="73"/>
      <c r="AA249" s="73"/>
      <c r="AB249" s="73"/>
      <c r="AC249" s="73"/>
    </row>
    <row r="250" spans="1:29" ht="24" customHeight="1" x14ac:dyDescent="0.55000000000000004">
      <c r="A250" s="242"/>
      <c r="E250" s="243"/>
      <c r="F250" s="243"/>
      <c r="G250" s="243"/>
      <c r="H250" s="243"/>
      <c r="I250" s="243"/>
      <c r="J250" s="234"/>
      <c r="K250" s="73"/>
      <c r="L250" s="73"/>
      <c r="M250" s="73"/>
      <c r="N250" s="73"/>
      <c r="O250" s="73"/>
      <c r="P250" s="73"/>
      <c r="Q250" s="73"/>
      <c r="R250" s="73"/>
      <c r="S250" s="73"/>
      <c r="T250" s="73"/>
      <c r="U250" s="73"/>
      <c r="V250" s="73"/>
      <c r="W250" s="73"/>
      <c r="X250" s="73"/>
      <c r="Y250" s="73"/>
      <c r="Z250" s="73"/>
      <c r="AA250" s="73"/>
      <c r="AB250" s="73"/>
      <c r="AC250" s="73"/>
    </row>
    <row r="251" spans="1:29" ht="24" customHeight="1" x14ac:dyDescent="0.55000000000000004">
      <c r="A251" s="242"/>
      <c r="E251" s="243"/>
      <c r="F251" s="243"/>
      <c r="G251" s="243"/>
      <c r="H251" s="243"/>
      <c r="I251" s="243"/>
      <c r="J251" s="234"/>
      <c r="K251" s="73"/>
      <c r="L251" s="73"/>
      <c r="M251" s="73"/>
      <c r="N251" s="73"/>
      <c r="O251" s="73"/>
      <c r="P251" s="73"/>
      <c r="Q251" s="73"/>
      <c r="R251" s="73"/>
      <c r="S251" s="73"/>
      <c r="T251" s="73"/>
      <c r="U251" s="73"/>
      <c r="V251" s="73"/>
      <c r="W251" s="73"/>
      <c r="X251" s="73"/>
      <c r="Y251" s="73"/>
      <c r="Z251" s="73"/>
      <c r="AA251" s="73"/>
      <c r="AB251" s="73"/>
      <c r="AC251" s="73"/>
    </row>
    <row r="252" spans="1:29" ht="24" customHeight="1" x14ac:dyDescent="0.55000000000000004">
      <c r="A252" s="242"/>
      <c r="E252" s="243"/>
      <c r="F252" s="243"/>
      <c r="G252" s="243"/>
      <c r="H252" s="243"/>
      <c r="I252" s="243"/>
      <c r="J252" s="234"/>
      <c r="K252" s="73"/>
      <c r="L252" s="73"/>
      <c r="M252" s="73"/>
      <c r="N252" s="73"/>
      <c r="O252" s="73"/>
      <c r="P252" s="73"/>
      <c r="Q252" s="73"/>
      <c r="R252" s="73"/>
      <c r="S252" s="73"/>
      <c r="T252" s="73"/>
      <c r="U252" s="73"/>
      <c r="V252" s="73"/>
      <c r="W252" s="73"/>
      <c r="X252" s="73"/>
      <c r="Y252" s="73"/>
      <c r="Z252" s="73"/>
      <c r="AA252" s="73"/>
      <c r="AB252" s="73"/>
      <c r="AC252" s="73"/>
    </row>
    <row r="253" spans="1:29" ht="24" customHeight="1" x14ac:dyDescent="0.55000000000000004">
      <c r="A253" s="242"/>
      <c r="E253" s="243"/>
      <c r="F253" s="243"/>
      <c r="G253" s="243"/>
      <c r="H253" s="243"/>
      <c r="I253" s="243"/>
      <c r="J253" s="234"/>
      <c r="K253" s="73"/>
      <c r="L253" s="73"/>
      <c r="M253" s="73"/>
      <c r="N253" s="73"/>
      <c r="O253" s="73"/>
      <c r="P253" s="73"/>
      <c r="Q253" s="73"/>
      <c r="R253" s="73"/>
      <c r="S253" s="73"/>
      <c r="T253" s="73"/>
      <c r="U253" s="73"/>
      <c r="V253" s="73"/>
      <c r="W253" s="73"/>
      <c r="X253" s="73"/>
      <c r="Y253" s="73"/>
      <c r="Z253" s="73"/>
      <c r="AA253" s="73"/>
      <c r="AB253" s="73"/>
      <c r="AC253" s="73"/>
    </row>
    <row r="254" spans="1:29" ht="24" customHeight="1" x14ac:dyDescent="0.55000000000000004">
      <c r="A254" s="242"/>
      <c r="E254" s="243"/>
      <c r="F254" s="243"/>
      <c r="G254" s="243"/>
      <c r="H254" s="243"/>
      <c r="I254" s="243"/>
      <c r="J254" s="234"/>
      <c r="K254" s="73"/>
      <c r="L254" s="73"/>
      <c r="M254" s="73"/>
      <c r="N254" s="73"/>
      <c r="O254" s="73"/>
      <c r="P254" s="73"/>
      <c r="Q254" s="73"/>
      <c r="R254" s="73"/>
      <c r="S254" s="73"/>
      <c r="T254" s="73"/>
      <c r="U254" s="73"/>
      <c r="V254" s="73"/>
      <c r="W254" s="73"/>
      <c r="X254" s="73"/>
      <c r="Y254" s="73"/>
      <c r="Z254" s="73"/>
      <c r="AA254" s="73"/>
      <c r="AB254" s="73"/>
      <c r="AC254" s="73"/>
    </row>
    <row r="255" spans="1:29" ht="24" customHeight="1" x14ac:dyDescent="0.55000000000000004">
      <c r="A255" s="242"/>
      <c r="E255" s="243"/>
      <c r="F255" s="243"/>
      <c r="G255" s="243"/>
      <c r="H255" s="243"/>
      <c r="I255" s="243"/>
      <c r="J255" s="234"/>
      <c r="K255" s="73"/>
      <c r="L255" s="73"/>
      <c r="M255" s="73"/>
      <c r="N255" s="73"/>
      <c r="O255" s="73"/>
      <c r="P255" s="73"/>
      <c r="Q255" s="73"/>
      <c r="R255" s="73"/>
      <c r="S255" s="73"/>
      <c r="T255" s="73"/>
      <c r="U255" s="73"/>
      <c r="V255" s="73"/>
      <c r="W255" s="73"/>
      <c r="X255" s="73"/>
      <c r="Y255" s="73"/>
      <c r="Z255" s="73"/>
      <c r="AA255" s="73"/>
      <c r="AB255" s="73"/>
      <c r="AC255" s="73"/>
    </row>
    <row r="256" spans="1:29" ht="24" customHeight="1" x14ac:dyDescent="0.55000000000000004">
      <c r="A256" s="242"/>
      <c r="E256" s="243"/>
      <c r="F256" s="243"/>
      <c r="G256" s="243"/>
      <c r="H256" s="243"/>
      <c r="I256" s="243"/>
      <c r="J256" s="234"/>
      <c r="K256" s="73"/>
      <c r="L256" s="73"/>
      <c r="M256" s="73"/>
      <c r="N256" s="73"/>
      <c r="O256" s="73"/>
      <c r="P256" s="73"/>
      <c r="Q256" s="73"/>
      <c r="R256" s="73"/>
      <c r="S256" s="73"/>
      <c r="T256" s="73"/>
      <c r="U256" s="73"/>
      <c r="V256" s="73"/>
      <c r="W256" s="73"/>
      <c r="X256" s="73"/>
      <c r="Y256" s="73"/>
      <c r="Z256" s="73"/>
      <c r="AA256" s="73"/>
      <c r="AB256" s="73"/>
      <c r="AC256" s="73"/>
    </row>
    <row r="257" spans="1:29" ht="24" customHeight="1" x14ac:dyDescent="0.55000000000000004">
      <c r="A257" s="242"/>
      <c r="E257" s="243"/>
      <c r="F257" s="243"/>
      <c r="G257" s="243"/>
      <c r="H257" s="243"/>
      <c r="I257" s="243"/>
      <c r="J257" s="234"/>
      <c r="K257" s="73"/>
      <c r="L257" s="73"/>
      <c r="M257" s="73"/>
      <c r="N257" s="73"/>
      <c r="O257" s="73"/>
      <c r="P257" s="73"/>
      <c r="Q257" s="73"/>
      <c r="R257" s="73"/>
      <c r="S257" s="73"/>
      <c r="T257" s="73"/>
      <c r="U257" s="73"/>
      <c r="V257" s="73"/>
      <c r="W257" s="73"/>
      <c r="X257" s="73"/>
      <c r="Y257" s="73"/>
      <c r="Z257" s="73"/>
      <c r="AA257" s="73"/>
      <c r="AB257" s="73"/>
      <c r="AC257" s="73"/>
    </row>
    <row r="258" spans="1:29" ht="24" customHeight="1" x14ac:dyDescent="0.55000000000000004">
      <c r="A258" s="242"/>
      <c r="E258" s="243"/>
      <c r="F258" s="243"/>
      <c r="G258" s="243"/>
      <c r="H258" s="243"/>
      <c r="I258" s="243"/>
      <c r="J258" s="234"/>
      <c r="K258" s="73"/>
      <c r="L258" s="73"/>
      <c r="M258" s="73"/>
      <c r="N258" s="73"/>
      <c r="O258" s="73"/>
      <c r="P258" s="73"/>
      <c r="Q258" s="73"/>
      <c r="R258" s="73"/>
      <c r="S258" s="73"/>
      <c r="T258" s="73"/>
      <c r="U258" s="73"/>
      <c r="V258" s="73"/>
      <c r="W258" s="73"/>
      <c r="X258" s="73"/>
      <c r="Y258" s="73"/>
      <c r="Z258" s="73"/>
      <c r="AA258" s="73"/>
      <c r="AB258" s="73"/>
      <c r="AC258" s="73"/>
    </row>
    <row r="259" spans="1:29" ht="24" customHeight="1" x14ac:dyDescent="0.55000000000000004">
      <c r="A259" s="242"/>
      <c r="E259" s="243"/>
      <c r="F259" s="243"/>
      <c r="G259" s="243"/>
      <c r="H259" s="243"/>
      <c r="I259" s="243"/>
      <c r="J259" s="234"/>
      <c r="K259" s="73"/>
      <c r="L259" s="73"/>
      <c r="M259" s="73"/>
      <c r="N259" s="73"/>
      <c r="O259" s="73"/>
      <c r="P259" s="73"/>
      <c r="Q259" s="73"/>
      <c r="R259" s="73"/>
      <c r="S259" s="73"/>
      <c r="T259" s="73"/>
      <c r="U259" s="73"/>
      <c r="V259" s="73"/>
      <c r="W259" s="73"/>
      <c r="X259" s="73"/>
      <c r="Y259" s="73"/>
      <c r="Z259" s="73"/>
      <c r="AA259" s="73"/>
      <c r="AB259" s="73"/>
      <c r="AC259" s="73"/>
    </row>
    <row r="260" spans="1:29" ht="24" customHeight="1" x14ac:dyDescent="0.55000000000000004">
      <c r="A260" s="242"/>
      <c r="E260" s="243"/>
      <c r="F260" s="243"/>
      <c r="G260" s="243"/>
      <c r="H260" s="243"/>
      <c r="I260" s="243"/>
      <c r="J260" s="234"/>
      <c r="K260" s="73"/>
      <c r="L260" s="73"/>
      <c r="M260" s="73"/>
      <c r="N260" s="73"/>
      <c r="O260" s="73"/>
      <c r="P260" s="73"/>
      <c r="Q260" s="73"/>
      <c r="R260" s="73"/>
      <c r="S260" s="73"/>
      <c r="T260" s="73"/>
      <c r="U260" s="73"/>
      <c r="V260" s="73"/>
      <c r="W260" s="73"/>
      <c r="X260" s="73"/>
      <c r="Y260" s="73"/>
      <c r="Z260" s="73"/>
      <c r="AA260" s="73"/>
      <c r="AB260" s="73"/>
      <c r="AC260" s="73"/>
    </row>
    <row r="261" spans="1:29" ht="24" customHeight="1" x14ac:dyDescent="0.55000000000000004">
      <c r="A261" s="242"/>
      <c r="E261" s="243"/>
      <c r="F261" s="243"/>
      <c r="G261" s="243"/>
      <c r="H261" s="243"/>
      <c r="I261" s="243"/>
      <c r="J261" s="234"/>
      <c r="K261" s="73"/>
      <c r="L261" s="73"/>
      <c r="M261" s="73"/>
      <c r="N261" s="73"/>
      <c r="O261" s="73"/>
      <c r="P261" s="73"/>
      <c r="Q261" s="73"/>
      <c r="R261" s="73"/>
      <c r="S261" s="73"/>
      <c r="T261" s="73"/>
      <c r="U261" s="73"/>
      <c r="V261" s="73"/>
      <c r="W261" s="73"/>
      <c r="X261" s="73"/>
      <c r="Y261" s="73"/>
      <c r="Z261" s="73"/>
      <c r="AA261" s="73"/>
      <c r="AB261" s="73"/>
      <c r="AC261" s="73"/>
    </row>
    <row r="262" spans="1:29" ht="24" customHeight="1" x14ac:dyDescent="0.55000000000000004">
      <c r="A262" s="242"/>
      <c r="E262" s="243"/>
      <c r="F262" s="243"/>
      <c r="G262" s="243"/>
      <c r="H262" s="243"/>
      <c r="I262" s="243"/>
      <c r="J262" s="234"/>
      <c r="K262" s="73"/>
      <c r="L262" s="73"/>
      <c r="M262" s="73"/>
      <c r="N262" s="73"/>
      <c r="O262" s="73"/>
      <c r="P262" s="73"/>
      <c r="Q262" s="73"/>
      <c r="R262" s="73"/>
      <c r="S262" s="73"/>
      <c r="T262" s="73"/>
      <c r="U262" s="73"/>
      <c r="V262" s="73"/>
      <c r="W262" s="73"/>
      <c r="X262" s="73"/>
      <c r="Y262" s="73"/>
      <c r="Z262" s="73"/>
      <c r="AA262" s="73"/>
      <c r="AB262" s="73"/>
      <c r="AC262" s="73"/>
    </row>
    <row r="263" spans="1:29" ht="24" customHeight="1" x14ac:dyDescent="0.55000000000000004">
      <c r="A263" s="242"/>
      <c r="E263" s="243"/>
      <c r="F263" s="243"/>
      <c r="G263" s="243"/>
      <c r="H263" s="243"/>
      <c r="I263" s="243"/>
      <c r="J263" s="234"/>
      <c r="K263" s="73"/>
      <c r="L263" s="73"/>
      <c r="M263" s="73"/>
      <c r="N263" s="73"/>
      <c r="O263" s="73"/>
      <c r="P263" s="73"/>
      <c r="Q263" s="73"/>
      <c r="R263" s="73"/>
      <c r="S263" s="73"/>
      <c r="T263" s="73"/>
      <c r="U263" s="73"/>
      <c r="V263" s="73"/>
      <c r="W263" s="73"/>
      <c r="X263" s="73"/>
      <c r="Y263" s="73"/>
      <c r="Z263" s="73"/>
      <c r="AA263" s="73"/>
      <c r="AB263" s="73"/>
      <c r="AC263" s="73"/>
    </row>
    <row r="264" spans="1:29" ht="24" customHeight="1" x14ac:dyDescent="0.55000000000000004">
      <c r="A264" s="242"/>
      <c r="E264" s="243"/>
      <c r="F264" s="243"/>
      <c r="G264" s="243"/>
      <c r="H264" s="243"/>
      <c r="I264" s="243"/>
      <c r="J264" s="234"/>
      <c r="K264" s="73"/>
      <c r="L264" s="73"/>
      <c r="M264" s="73"/>
      <c r="N264" s="73"/>
      <c r="O264" s="73"/>
      <c r="P264" s="73"/>
      <c r="Q264" s="73"/>
      <c r="R264" s="73"/>
      <c r="S264" s="73"/>
      <c r="T264" s="73"/>
      <c r="U264" s="73"/>
      <c r="V264" s="73"/>
      <c r="W264" s="73"/>
      <c r="X264" s="73"/>
      <c r="Y264" s="73"/>
      <c r="Z264" s="73"/>
      <c r="AA264" s="73"/>
      <c r="AB264" s="73"/>
      <c r="AC264" s="73"/>
    </row>
    <row r="265" spans="1:29" ht="24" customHeight="1" x14ac:dyDescent="0.55000000000000004">
      <c r="A265" s="242"/>
      <c r="E265" s="243"/>
      <c r="F265" s="243"/>
      <c r="G265" s="243"/>
      <c r="H265" s="243"/>
      <c r="I265" s="243"/>
      <c r="J265" s="234"/>
      <c r="K265" s="73"/>
      <c r="L265" s="73"/>
      <c r="M265" s="73"/>
      <c r="N265" s="73"/>
      <c r="O265" s="73"/>
      <c r="P265" s="73"/>
      <c r="Q265" s="73"/>
      <c r="R265" s="73"/>
      <c r="S265" s="73"/>
      <c r="T265" s="73"/>
      <c r="U265" s="73"/>
      <c r="V265" s="73"/>
      <c r="W265" s="73"/>
      <c r="X265" s="73"/>
      <c r="Y265" s="73"/>
      <c r="Z265" s="73"/>
      <c r="AA265" s="73"/>
      <c r="AB265" s="73"/>
      <c r="AC265" s="73"/>
    </row>
    <row r="266" spans="1:29" ht="24" customHeight="1" x14ac:dyDescent="0.55000000000000004">
      <c r="A266" s="242"/>
      <c r="E266" s="243"/>
      <c r="F266" s="243"/>
      <c r="G266" s="243"/>
      <c r="H266" s="243"/>
      <c r="I266" s="243"/>
      <c r="J266" s="234"/>
      <c r="K266" s="73"/>
      <c r="L266" s="73"/>
      <c r="M266" s="73"/>
      <c r="N266" s="73"/>
      <c r="O266" s="73"/>
      <c r="P266" s="73"/>
      <c r="Q266" s="73"/>
      <c r="R266" s="73"/>
      <c r="S266" s="73"/>
      <c r="T266" s="73"/>
      <c r="U266" s="73"/>
      <c r="V266" s="73"/>
      <c r="W266" s="73"/>
      <c r="X266" s="73"/>
      <c r="Y266" s="73"/>
      <c r="Z266" s="73"/>
      <c r="AA266" s="73"/>
      <c r="AB266" s="73"/>
      <c r="AC266" s="73"/>
    </row>
    <row r="267" spans="1:29" ht="24" customHeight="1" x14ac:dyDescent="0.55000000000000004">
      <c r="A267" s="242"/>
      <c r="E267" s="243"/>
      <c r="F267" s="243"/>
      <c r="G267" s="243"/>
      <c r="H267" s="243"/>
      <c r="I267" s="243"/>
      <c r="J267" s="234"/>
      <c r="K267" s="73"/>
      <c r="L267" s="73"/>
      <c r="M267" s="73"/>
      <c r="N267" s="73"/>
      <c r="O267" s="73"/>
      <c r="P267" s="73"/>
      <c r="Q267" s="73"/>
      <c r="R267" s="73"/>
      <c r="S267" s="73"/>
      <c r="T267" s="73"/>
      <c r="U267" s="73"/>
      <c r="V267" s="73"/>
      <c r="W267" s="73"/>
      <c r="X267" s="73"/>
      <c r="Y267" s="73"/>
      <c r="Z267" s="73"/>
      <c r="AA267" s="73"/>
      <c r="AB267" s="73"/>
      <c r="AC267" s="73"/>
    </row>
    <row r="268" spans="1:29" ht="24" customHeight="1" x14ac:dyDescent="0.55000000000000004">
      <c r="A268" s="242"/>
      <c r="E268" s="243"/>
      <c r="F268" s="243"/>
      <c r="G268" s="243"/>
      <c r="H268" s="243"/>
      <c r="I268" s="243"/>
      <c r="J268" s="234"/>
      <c r="K268" s="73"/>
      <c r="L268" s="73"/>
      <c r="M268" s="73"/>
      <c r="N268" s="73"/>
      <c r="O268" s="73"/>
      <c r="P268" s="73"/>
      <c r="Q268" s="73"/>
      <c r="R268" s="73"/>
      <c r="S268" s="73"/>
      <c r="T268" s="73"/>
      <c r="U268" s="73"/>
      <c r="V268" s="73"/>
      <c r="W268" s="73"/>
      <c r="X268" s="73"/>
      <c r="Y268" s="73"/>
      <c r="Z268" s="73"/>
      <c r="AA268" s="73"/>
      <c r="AB268" s="73"/>
      <c r="AC268" s="73"/>
    </row>
    <row r="269" spans="1:29" ht="24" customHeight="1" x14ac:dyDescent="0.55000000000000004">
      <c r="A269" s="242"/>
      <c r="E269" s="243"/>
      <c r="F269" s="243"/>
      <c r="G269" s="243"/>
      <c r="H269" s="243"/>
      <c r="I269" s="243"/>
      <c r="J269" s="234"/>
      <c r="K269" s="73"/>
      <c r="L269" s="73"/>
      <c r="M269" s="73"/>
      <c r="N269" s="73"/>
      <c r="O269" s="73"/>
      <c r="P269" s="73"/>
      <c r="Q269" s="73"/>
      <c r="R269" s="73"/>
      <c r="S269" s="73"/>
      <c r="T269" s="73"/>
      <c r="U269" s="73"/>
      <c r="V269" s="73"/>
      <c r="W269" s="73"/>
      <c r="X269" s="73"/>
      <c r="Y269" s="73"/>
      <c r="Z269" s="73"/>
      <c r="AA269" s="73"/>
      <c r="AB269" s="73"/>
      <c r="AC269" s="73"/>
    </row>
    <row r="270" spans="1:29" ht="24" customHeight="1" x14ac:dyDescent="0.55000000000000004">
      <c r="A270" s="242"/>
      <c r="E270" s="243"/>
      <c r="F270" s="243"/>
      <c r="G270" s="243"/>
      <c r="H270" s="243"/>
      <c r="I270" s="243"/>
      <c r="J270" s="234"/>
      <c r="K270" s="73"/>
      <c r="L270" s="73"/>
      <c r="M270" s="73"/>
      <c r="N270" s="73"/>
      <c r="O270" s="73"/>
      <c r="P270" s="73"/>
      <c r="Q270" s="73"/>
      <c r="R270" s="73"/>
      <c r="S270" s="73"/>
      <c r="T270" s="73"/>
      <c r="U270" s="73"/>
      <c r="V270" s="73"/>
      <c r="W270" s="73"/>
      <c r="X270" s="73"/>
      <c r="Y270" s="73"/>
      <c r="Z270" s="73"/>
      <c r="AA270" s="73"/>
      <c r="AB270" s="73"/>
      <c r="AC270" s="73"/>
    </row>
    <row r="271" spans="1:29" ht="24" customHeight="1" x14ac:dyDescent="0.55000000000000004">
      <c r="A271" s="242"/>
      <c r="E271" s="243"/>
      <c r="F271" s="243"/>
      <c r="G271" s="243"/>
      <c r="H271" s="243"/>
      <c r="I271" s="243"/>
      <c r="J271" s="234"/>
      <c r="K271" s="73"/>
      <c r="L271" s="73"/>
      <c r="M271" s="73"/>
      <c r="N271" s="73"/>
      <c r="O271" s="73"/>
      <c r="P271" s="73"/>
      <c r="Q271" s="73"/>
      <c r="R271" s="73"/>
      <c r="S271" s="73"/>
      <c r="T271" s="73"/>
      <c r="U271" s="73"/>
      <c r="V271" s="73"/>
      <c r="W271" s="73"/>
      <c r="X271" s="73"/>
      <c r="Y271" s="73"/>
      <c r="Z271" s="73"/>
      <c r="AA271" s="73"/>
      <c r="AB271" s="73"/>
      <c r="AC271" s="73"/>
    </row>
    <row r="272" spans="1:29" ht="24" customHeight="1" x14ac:dyDescent="0.55000000000000004">
      <c r="A272" s="242"/>
      <c r="E272" s="243"/>
      <c r="F272" s="243"/>
      <c r="G272" s="243"/>
      <c r="H272" s="243"/>
      <c r="I272" s="243"/>
      <c r="J272" s="234"/>
      <c r="K272" s="73"/>
      <c r="L272" s="73"/>
      <c r="M272" s="73"/>
      <c r="N272" s="73"/>
      <c r="O272" s="73"/>
      <c r="P272" s="73"/>
      <c r="Q272" s="73"/>
      <c r="R272" s="73"/>
      <c r="S272" s="73"/>
      <c r="T272" s="73"/>
      <c r="U272" s="73"/>
      <c r="V272" s="73"/>
      <c r="W272" s="73"/>
      <c r="X272" s="73"/>
      <c r="Y272" s="73"/>
      <c r="Z272" s="73"/>
      <c r="AA272" s="73"/>
      <c r="AB272" s="73"/>
      <c r="AC272" s="73"/>
    </row>
    <row r="273" spans="1:29" ht="24" customHeight="1" x14ac:dyDescent="0.55000000000000004">
      <c r="A273" s="242"/>
      <c r="E273" s="243"/>
      <c r="F273" s="243"/>
      <c r="G273" s="243"/>
      <c r="H273" s="243"/>
      <c r="I273" s="243"/>
      <c r="J273" s="234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3"/>
      <c r="Y273" s="73"/>
      <c r="Z273" s="73"/>
      <c r="AA273" s="73"/>
      <c r="AB273" s="73"/>
      <c r="AC273" s="73"/>
    </row>
    <row r="274" spans="1:29" ht="24" customHeight="1" x14ac:dyDescent="0.55000000000000004">
      <c r="A274" s="242"/>
      <c r="E274" s="243"/>
      <c r="F274" s="243"/>
      <c r="G274" s="243"/>
      <c r="H274" s="243"/>
      <c r="I274" s="243"/>
      <c r="J274" s="234"/>
      <c r="K274" s="73"/>
      <c r="L274" s="73"/>
      <c r="M274" s="73"/>
      <c r="N274" s="73"/>
      <c r="O274" s="73"/>
      <c r="P274" s="73"/>
      <c r="Q274" s="73"/>
      <c r="R274" s="73"/>
      <c r="S274" s="73"/>
      <c r="T274" s="73"/>
      <c r="U274" s="73"/>
      <c r="V274" s="73"/>
      <c r="W274" s="73"/>
      <c r="X274" s="73"/>
      <c r="Y274" s="73"/>
      <c r="Z274" s="73"/>
      <c r="AA274" s="73"/>
      <c r="AB274" s="73"/>
      <c r="AC274" s="73"/>
    </row>
    <row r="275" spans="1:29" ht="24" customHeight="1" x14ac:dyDescent="0.55000000000000004">
      <c r="A275" s="242"/>
      <c r="E275" s="243"/>
      <c r="F275" s="243"/>
      <c r="G275" s="243"/>
      <c r="H275" s="243"/>
      <c r="I275" s="243"/>
      <c r="J275" s="234"/>
      <c r="K275" s="73"/>
      <c r="L275" s="73"/>
      <c r="M275" s="73"/>
      <c r="N275" s="73"/>
      <c r="O275" s="73"/>
      <c r="P275" s="73"/>
      <c r="Q275" s="73"/>
      <c r="R275" s="73"/>
      <c r="S275" s="73"/>
      <c r="T275" s="73"/>
      <c r="U275" s="73"/>
      <c r="V275" s="73"/>
      <c r="W275" s="73"/>
      <c r="X275" s="73"/>
      <c r="Y275" s="73"/>
      <c r="Z275" s="73"/>
      <c r="AA275" s="73"/>
      <c r="AB275" s="73"/>
      <c r="AC275" s="73"/>
    </row>
    <row r="276" spans="1:29" ht="24" customHeight="1" x14ac:dyDescent="0.55000000000000004">
      <c r="A276" s="242"/>
      <c r="E276" s="243"/>
      <c r="F276" s="243"/>
      <c r="G276" s="243"/>
      <c r="H276" s="243"/>
      <c r="I276" s="243"/>
      <c r="J276" s="234"/>
      <c r="K276" s="73"/>
      <c r="L276" s="73"/>
      <c r="M276" s="73"/>
      <c r="N276" s="73"/>
      <c r="O276" s="73"/>
      <c r="P276" s="73"/>
      <c r="Q276" s="73"/>
      <c r="R276" s="73"/>
      <c r="S276" s="73"/>
      <c r="T276" s="73"/>
      <c r="U276" s="73"/>
      <c r="V276" s="73"/>
      <c r="W276" s="73"/>
      <c r="X276" s="73"/>
      <c r="Y276" s="73"/>
      <c r="Z276" s="73"/>
      <c r="AA276" s="73"/>
      <c r="AB276" s="73"/>
      <c r="AC276" s="73"/>
    </row>
    <row r="277" spans="1:29" ht="24" customHeight="1" x14ac:dyDescent="0.55000000000000004">
      <c r="A277" s="242"/>
      <c r="E277" s="243"/>
      <c r="F277" s="243"/>
      <c r="G277" s="243"/>
      <c r="H277" s="243"/>
      <c r="I277" s="243"/>
      <c r="J277" s="234"/>
      <c r="K277" s="73"/>
      <c r="L277" s="73"/>
      <c r="M277" s="73"/>
      <c r="N277" s="73"/>
      <c r="O277" s="73"/>
      <c r="P277" s="73"/>
      <c r="Q277" s="73"/>
      <c r="R277" s="73"/>
      <c r="S277" s="73"/>
      <c r="T277" s="73"/>
      <c r="U277" s="73"/>
      <c r="V277" s="73"/>
      <c r="W277" s="73"/>
      <c r="X277" s="73"/>
      <c r="Y277" s="73"/>
      <c r="Z277" s="73"/>
      <c r="AA277" s="73"/>
      <c r="AB277" s="73"/>
      <c r="AC277" s="73"/>
    </row>
    <row r="278" spans="1:29" ht="24" customHeight="1" x14ac:dyDescent="0.55000000000000004">
      <c r="A278" s="242"/>
      <c r="E278" s="243"/>
      <c r="F278" s="243"/>
      <c r="G278" s="243"/>
      <c r="H278" s="243"/>
      <c r="I278" s="243"/>
      <c r="J278" s="234"/>
      <c r="K278" s="73"/>
      <c r="L278" s="73"/>
      <c r="M278" s="73"/>
      <c r="N278" s="73"/>
      <c r="O278" s="73"/>
      <c r="P278" s="73"/>
      <c r="Q278" s="73"/>
      <c r="R278" s="73"/>
      <c r="S278" s="73"/>
      <c r="T278" s="73"/>
      <c r="U278" s="73"/>
      <c r="V278" s="73"/>
      <c r="W278" s="73"/>
      <c r="X278" s="73"/>
      <c r="Y278" s="73"/>
      <c r="Z278" s="73"/>
      <c r="AA278" s="73"/>
      <c r="AB278" s="73"/>
      <c r="AC278" s="73"/>
    </row>
    <row r="279" spans="1:29" ht="24" customHeight="1" x14ac:dyDescent="0.55000000000000004">
      <c r="A279" s="242"/>
      <c r="E279" s="243"/>
      <c r="F279" s="243"/>
      <c r="G279" s="243"/>
      <c r="H279" s="243"/>
      <c r="I279" s="243"/>
      <c r="J279" s="234"/>
      <c r="K279" s="73"/>
      <c r="L279" s="73"/>
      <c r="M279" s="73"/>
      <c r="N279" s="73"/>
      <c r="O279" s="73"/>
      <c r="P279" s="73"/>
      <c r="Q279" s="73"/>
      <c r="R279" s="73"/>
      <c r="S279" s="73"/>
      <c r="T279" s="73"/>
      <c r="U279" s="73"/>
      <c r="V279" s="73"/>
      <c r="W279" s="73"/>
      <c r="X279" s="73"/>
      <c r="Y279" s="73"/>
      <c r="Z279" s="73"/>
      <c r="AA279" s="73"/>
      <c r="AB279" s="73"/>
      <c r="AC279" s="73"/>
    </row>
    <row r="280" spans="1:29" ht="24" customHeight="1" x14ac:dyDescent="0.55000000000000004">
      <c r="A280" s="242"/>
      <c r="E280" s="243"/>
      <c r="F280" s="243"/>
      <c r="G280" s="243"/>
      <c r="H280" s="243"/>
      <c r="I280" s="243"/>
      <c r="J280" s="234"/>
      <c r="K280" s="73"/>
      <c r="L280" s="73"/>
      <c r="M280" s="73"/>
      <c r="N280" s="73"/>
      <c r="O280" s="73"/>
      <c r="P280" s="73"/>
      <c r="Q280" s="73"/>
      <c r="R280" s="73"/>
      <c r="S280" s="73"/>
      <c r="T280" s="73"/>
      <c r="U280" s="73"/>
      <c r="V280" s="73"/>
      <c r="W280" s="73"/>
      <c r="X280" s="73"/>
      <c r="Y280" s="73"/>
      <c r="Z280" s="73"/>
      <c r="AA280" s="73"/>
      <c r="AB280" s="73"/>
      <c r="AC280" s="73"/>
    </row>
    <row r="281" spans="1:29" ht="24" customHeight="1" x14ac:dyDescent="0.55000000000000004">
      <c r="A281" s="242"/>
      <c r="E281" s="243"/>
      <c r="F281" s="243"/>
      <c r="G281" s="243"/>
      <c r="H281" s="243"/>
      <c r="I281" s="243"/>
      <c r="J281" s="234"/>
      <c r="K281" s="73"/>
      <c r="L281" s="73"/>
      <c r="M281" s="73"/>
      <c r="N281" s="73"/>
      <c r="O281" s="73"/>
      <c r="P281" s="73"/>
      <c r="Q281" s="73"/>
      <c r="R281" s="73"/>
      <c r="S281" s="73"/>
      <c r="T281" s="73"/>
      <c r="U281" s="73"/>
      <c r="V281" s="73"/>
      <c r="W281" s="73"/>
      <c r="X281" s="73"/>
      <c r="Y281" s="73"/>
      <c r="Z281" s="73"/>
      <c r="AA281" s="73"/>
      <c r="AB281" s="73"/>
      <c r="AC281" s="73"/>
    </row>
    <row r="282" spans="1:29" ht="24" customHeight="1" x14ac:dyDescent="0.55000000000000004">
      <c r="A282" s="242"/>
      <c r="E282" s="243"/>
      <c r="F282" s="243"/>
      <c r="G282" s="243"/>
      <c r="H282" s="243"/>
      <c r="I282" s="243"/>
      <c r="J282" s="234"/>
      <c r="K282" s="73"/>
      <c r="L282" s="73"/>
      <c r="M282" s="73"/>
      <c r="N282" s="73"/>
      <c r="O282" s="73"/>
      <c r="P282" s="73"/>
      <c r="Q282" s="73"/>
      <c r="R282" s="73"/>
      <c r="S282" s="73"/>
      <c r="T282" s="73"/>
      <c r="U282" s="73"/>
      <c r="V282" s="73"/>
      <c r="W282" s="73"/>
      <c r="X282" s="73"/>
      <c r="Y282" s="73"/>
      <c r="Z282" s="73"/>
      <c r="AA282" s="73"/>
      <c r="AB282" s="73"/>
      <c r="AC282" s="73"/>
    </row>
    <row r="283" spans="1:29" ht="24" customHeight="1" x14ac:dyDescent="0.55000000000000004">
      <c r="A283" s="242"/>
      <c r="E283" s="243"/>
      <c r="F283" s="243"/>
      <c r="G283" s="243"/>
      <c r="H283" s="243"/>
      <c r="I283" s="243"/>
      <c r="J283" s="234"/>
      <c r="K283" s="73"/>
      <c r="L283" s="73"/>
      <c r="M283" s="73"/>
      <c r="N283" s="73"/>
      <c r="O283" s="73"/>
      <c r="P283" s="73"/>
      <c r="Q283" s="73"/>
      <c r="R283" s="73"/>
      <c r="S283" s="73"/>
      <c r="T283" s="73"/>
      <c r="U283" s="73"/>
      <c r="V283" s="73"/>
      <c r="W283" s="73"/>
      <c r="X283" s="73"/>
      <c r="Y283" s="73"/>
      <c r="Z283" s="73"/>
      <c r="AA283" s="73"/>
      <c r="AB283" s="73"/>
      <c r="AC283" s="73"/>
    </row>
    <row r="284" spans="1:29" ht="24" customHeight="1" x14ac:dyDescent="0.55000000000000004">
      <c r="A284" s="242"/>
      <c r="E284" s="243"/>
      <c r="F284" s="243"/>
      <c r="G284" s="243"/>
      <c r="H284" s="243"/>
      <c r="I284" s="243"/>
      <c r="J284" s="234"/>
      <c r="K284" s="73"/>
      <c r="L284" s="73"/>
      <c r="M284" s="73"/>
      <c r="N284" s="73"/>
      <c r="O284" s="73"/>
      <c r="P284" s="73"/>
      <c r="Q284" s="73"/>
      <c r="R284" s="73"/>
      <c r="S284" s="73"/>
      <c r="T284" s="73"/>
      <c r="U284" s="73"/>
      <c r="V284" s="73"/>
      <c r="W284" s="73"/>
      <c r="X284" s="73"/>
      <c r="Y284" s="73"/>
      <c r="Z284" s="73"/>
      <c r="AA284" s="73"/>
      <c r="AB284" s="73"/>
      <c r="AC284" s="73"/>
    </row>
    <row r="285" spans="1:29" ht="24" customHeight="1" x14ac:dyDescent="0.55000000000000004">
      <c r="A285" s="242"/>
      <c r="E285" s="243"/>
      <c r="F285" s="243"/>
      <c r="G285" s="243"/>
      <c r="H285" s="243"/>
      <c r="I285" s="243"/>
      <c r="J285" s="234"/>
      <c r="K285" s="73"/>
      <c r="L285" s="73"/>
      <c r="M285" s="73"/>
      <c r="N285" s="73"/>
      <c r="O285" s="73"/>
      <c r="P285" s="73"/>
      <c r="Q285" s="73"/>
      <c r="R285" s="73"/>
      <c r="S285" s="73"/>
      <c r="T285" s="73"/>
      <c r="U285" s="73"/>
      <c r="V285" s="73"/>
      <c r="W285" s="73"/>
      <c r="X285" s="73"/>
      <c r="Y285" s="73"/>
      <c r="Z285" s="73"/>
      <c r="AA285" s="73"/>
      <c r="AB285" s="73"/>
      <c r="AC285" s="73"/>
    </row>
    <row r="286" spans="1:29" ht="24" customHeight="1" x14ac:dyDescent="0.55000000000000004">
      <c r="A286" s="242"/>
      <c r="E286" s="243"/>
      <c r="F286" s="243"/>
      <c r="G286" s="243"/>
      <c r="H286" s="243"/>
      <c r="I286" s="243"/>
      <c r="J286" s="234"/>
      <c r="K286" s="73"/>
      <c r="L286" s="73"/>
      <c r="M286" s="73"/>
      <c r="N286" s="73"/>
      <c r="O286" s="73"/>
      <c r="P286" s="73"/>
      <c r="Q286" s="73"/>
      <c r="R286" s="73"/>
      <c r="S286" s="73"/>
      <c r="T286" s="73"/>
      <c r="U286" s="73"/>
      <c r="V286" s="73"/>
      <c r="W286" s="73"/>
      <c r="X286" s="73"/>
      <c r="Y286" s="73"/>
      <c r="Z286" s="73"/>
      <c r="AA286" s="73"/>
      <c r="AB286" s="73"/>
      <c r="AC286" s="73"/>
    </row>
    <row r="287" spans="1:29" ht="24" customHeight="1" x14ac:dyDescent="0.55000000000000004">
      <c r="A287" s="242"/>
      <c r="E287" s="243"/>
      <c r="F287" s="243"/>
      <c r="G287" s="243"/>
      <c r="H287" s="243"/>
      <c r="I287" s="243"/>
      <c r="J287" s="234"/>
      <c r="K287" s="73"/>
      <c r="L287" s="73"/>
      <c r="M287" s="73"/>
      <c r="N287" s="73"/>
      <c r="O287" s="73"/>
      <c r="P287" s="73"/>
      <c r="Q287" s="73"/>
      <c r="R287" s="73"/>
      <c r="S287" s="73"/>
      <c r="T287" s="73"/>
      <c r="U287" s="73"/>
      <c r="V287" s="73"/>
      <c r="W287" s="73"/>
      <c r="X287" s="73"/>
      <c r="Y287" s="73"/>
      <c r="Z287" s="73"/>
      <c r="AA287" s="73"/>
      <c r="AB287" s="73"/>
      <c r="AC287" s="73"/>
    </row>
    <row r="288" spans="1:29" ht="24" customHeight="1" x14ac:dyDescent="0.55000000000000004">
      <c r="A288" s="242"/>
      <c r="E288" s="243"/>
      <c r="F288" s="243"/>
      <c r="G288" s="243"/>
      <c r="H288" s="243"/>
      <c r="I288" s="243"/>
      <c r="J288" s="234"/>
      <c r="K288" s="73"/>
      <c r="L288" s="73"/>
      <c r="M288" s="73"/>
      <c r="N288" s="73"/>
      <c r="O288" s="73"/>
      <c r="P288" s="73"/>
      <c r="Q288" s="73"/>
      <c r="R288" s="73"/>
      <c r="S288" s="73"/>
      <c r="T288" s="73"/>
      <c r="U288" s="73"/>
      <c r="V288" s="73"/>
      <c r="W288" s="73"/>
      <c r="X288" s="73"/>
      <c r="Y288" s="73"/>
      <c r="Z288" s="73"/>
      <c r="AA288" s="73"/>
      <c r="AB288" s="73"/>
      <c r="AC288" s="73"/>
    </row>
    <row r="289" spans="1:29" ht="24" customHeight="1" x14ac:dyDescent="0.55000000000000004">
      <c r="A289" s="242"/>
      <c r="E289" s="243"/>
      <c r="F289" s="243"/>
      <c r="G289" s="243"/>
      <c r="H289" s="243"/>
      <c r="I289" s="243"/>
      <c r="J289" s="234"/>
      <c r="K289" s="73"/>
      <c r="L289" s="73"/>
      <c r="M289" s="73"/>
      <c r="N289" s="73"/>
      <c r="O289" s="73"/>
      <c r="P289" s="73"/>
      <c r="Q289" s="73"/>
      <c r="R289" s="73"/>
      <c r="S289" s="73"/>
      <c r="T289" s="73"/>
      <c r="U289" s="73"/>
      <c r="V289" s="73"/>
      <c r="W289" s="73"/>
      <c r="X289" s="73"/>
      <c r="Y289" s="73"/>
      <c r="Z289" s="73"/>
      <c r="AA289" s="73"/>
      <c r="AB289" s="73"/>
      <c r="AC289" s="73"/>
    </row>
    <row r="290" spans="1:29" ht="24" customHeight="1" x14ac:dyDescent="0.55000000000000004">
      <c r="A290" s="242"/>
      <c r="E290" s="243"/>
      <c r="F290" s="243"/>
      <c r="G290" s="243"/>
      <c r="H290" s="243"/>
      <c r="I290" s="243"/>
      <c r="J290" s="234"/>
      <c r="K290" s="73"/>
      <c r="L290" s="73"/>
      <c r="M290" s="73"/>
      <c r="N290" s="73"/>
      <c r="O290" s="73"/>
      <c r="P290" s="73"/>
      <c r="Q290" s="73"/>
      <c r="R290" s="73"/>
      <c r="S290" s="73"/>
      <c r="T290" s="73"/>
      <c r="U290" s="73"/>
      <c r="V290" s="73"/>
      <c r="W290" s="73"/>
      <c r="X290" s="73"/>
      <c r="Y290" s="73"/>
      <c r="Z290" s="73"/>
      <c r="AA290" s="73"/>
      <c r="AB290" s="73"/>
      <c r="AC290" s="73"/>
    </row>
    <row r="291" spans="1:29" ht="24" customHeight="1" x14ac:dyDescent="0.55000000000000004">
      <c r="A291" s="242"/>
      <c r="E291" s="243"/>
      <c r="F291" s="243"/>
      <c r="G291" s="243"/>
      <c r="H291" s="243"/>
      <c r="I291" s="243"/>
      <c r="J291" s="234"/>
      <c r="K291" s="73"/>
      <c r="L291" s="73"/>
      <c r="M291" s="73"/>
      <c r="N291" s="73"/>
      <c r="O291" s="73"/>
      <c r="P291" s="73"/>
      <c r="Q291" s="73"/>
      <c r="R291" s="73"/>
      <c r="S291" s="73"/>
      <c r="T291" s="73"/>
      <c r="U291" s="73"/>
      <c r="V291" s="73"/>
      <c r="W291" s="73"/>
      <c r="X291" s="73"/>
      <c r="Y291" s="73"/>
      <c r="Z291" s="73"/>
      <c r="AA291" s="73"/>
      <c r="AB291" s="73"/>
      <c r="AC291" s="73"/>
    </row>
    <row r="292" spans="1:29" ht="24" customHeight="1" x14ac:dyDescent="0.55000000000000004">
      <c r="A292" s="242"/>
      <c r="E292" s="243"/>
      <c r="F292" s="243"/>
      <c r="G292" s="243"/>
      <c r="H292" s="243"/>
      <c r="I292" s="243"/>
      <c r="J292" s="234"/>
      <c r="K292" s="73"/>
      <c r="L292" s="73"/>
      <c r="M292" s="73"/>
      <c r="N292" s="73"/>
      <c r="O292" s="73"/>
      <c r="P292" s="73"/>
      <c r="Q292" s="73"/>
      <c r="R292" s="73"/>
      <c r="S292" s="73"/>
      <c r="T292" s="73"/>
      <c r="U292" s="73"/>
      <c r="V292" s="73"/>
      <c r="W292" s="73"/>
      <c r="X292" s="73"/>
      <c r="Y292" s="73"/>
      <c r="Z292" s="73"/>
      <c r="AA292" s="73"/>
      <c r="AB292" s="73"/>
      <c r="AC292" s="73"/>
    </row>
    <row r="293" spans="1:29" ht="24" customHeight="1" x14ac:dyDescent="0.55000000000000004">
      <c r="A293" s="242"/>
      <c r="E293" s="243"/>
      <c r="F293" s="243"/>
      <c r="G293" s="243"/>
      <c r="H293" s="243"/>
      <c r="I293" s="243"/>
      <c r="J293" s="234"/>
      <c r="K293" s="73"/>
      <c r="L293" s="73"/>
      <c r="M293" s="73"/>
      <c r="N293" s="73"/>
      <c r="O293" s="73"/>
      <c r="P293" s="73"/>
      <c r="Q293" s="73"/>
      <c r="R293" s="73"/>
      <c r="S293" s="73"/>
      <c r="T293" s="73"/>
      <c r="U293" s="73"/>
      <c r="V293" s="73"/>
      <c r="W293" s="73"/>
      <c r="X293" s="73"/>
      <c r="Y293" s="73"/>
      <c r="Z293" s="73"/>
      <c r="AA293" s="73"/>
      <c r="AB293" s="73"/>
      <c r="AC293" s="73"/>
    </row>
    <row r="294" spans="1:29" ht="24" customHeight="1" x14ac:dyDescent="0.55000000000000004">
      <c r="A294" s="242"/>
      <c r="E294" s="243"/>
      <c r="F294" s="243"/>
      <c r="G294" s="243"/>
      <c r="H294" s="243"/>
      <c r="I294" s="243"/>
      <c r="J294" s="234"/>
      <c r="K294" s="73"/>
      <c r="L294" s="73"/>
      <c r="M294" s="73"/>
      <c r="N294" s="73"/>
      <c r="O294" s="73"/>
      <c r="P294" s="73"/>
      <c r="Q294" s="73"/>
      <c r="R294" s="73"/>
      <c r="S294" s="73"/>
      <c r="T294" s="73"/>
      <c r="U294" s="73"/>
      <c r="V294" s="73"/>
      <c r="W294" s="73"/>
      <c r="X294" s="73"/>
      <c r="Y294" s="73"/>
      <c r="Z294" s="73"/>
      <c r="AA294" s="73"/>
      <c r="AB294" s="73"/>
      <c r="AC294" s="73"/>
    </row>
    <row r="295" spans="1:29" ht="24" customHeight="1" x14ac:dyDescent="0.55000000000000004">
      <c r="A295" s="242"/>
      <c r="E295" s="243"/>
      <c r="F295" s="243"/>
      <c r="G295" s="243"/>
      <c r="H295" s="243"/>
      <c r="I295" s="243"/>
      <c r="J295" s="234"/>
      <c r="K295" s="73"/>
      <c r="L295" s="73"/>
      <c r="M295" s="73"/>
      <c r="N295" s="73"/>
      <c r="O295" s="73"/>
      <c r="P295" s="73"/>
      <c r="Q295" s="73"/>
      <c r="R295" s="73"/>
      <c r="S295" s="73"/>
      <c r="T295" s="73"/>
      <c r="U295" s="73"/>
      <c r="V295" s="73"/>
      <c r="W295" s="73"/>
      <c r="X295" s="73"/>
      <c r="Y295" s="73"/>
      <c r="Z295" s="73"/>
      <c r="AA295" s="73"/>
      <c r="AB295" s="73"/>
      <c r="AC295" s="73"/>
    </row>
    <row r="296" spans="1:29" ht="24" customHeight="1" x14ac:dyDescent="0.55000000000000004">
      <c r="A296" s="242"/>
      <c r="E296" s="243"/>
      <c r="F296" s="243"/>
      <c r="G296" s="243"/>
      <c r="H296" s="243"/>
      <c r="I296" s="243"/>
      <c r="J296" s="234"/>
      <c r="K296" s="73"/>
      <c r="L296" s="73"/>
      <c r="M296" s="73"/>
      <c r="N296" s="73"/>
      <c r="O296" s="73"/>
      <c r="P296" s="73"/>
      <c r="Q296" s="73"/>
      <c r="R296" s="73"/>
      <c r="S296" s="73"/>
      <c r="T296" s="73"/>
      <c r="U296" s="73"/>
      <c r="V296" s="73"/>
      <c r="W296" s="73"/>
      <c r="X296" s="73"/>
      <c r="Y296" s="73"/>
      <c r="Z296" s="73"/>
      <c r="AA296" s="73"/>
      <c r="AB296" s="73"/>
      <c r="AC296" s="73"/>
    </row>
    <row r="297" spans="1:29" ht="24" customHeight="1" x14ac:dyDescent="0.55000000000000004">
      <c r="A297" s="242"/>
      <c r="E297" s="243"/>
      <c r="F297" s="243"/>
      <c r="G297" s="243"/>
      <c r="H297" s="243"/>
      <c r="I297" s="243"/>
      <c r="J297" s="234"/>
      <c r="K297" s="73"/>
      <c r="L297" s="73"/>
      <c r="M297" s="73"/>
      <c r="N297" s="73"/>
      <c r="O297" s="73"/>
      <c r="P297" s="73"/>
      <c r="Q297" s="73"/>
      <c r="R297" s="73"/>
      <c r="S297" s="73"/>
      <c r="T297" s="73"/>
      <c r="U297" s="73"/>
      <c r="V297" s="73"/>
      <c r="W297" s="73"/>
      <c r="X297" s="73"/>
      <c r="Y297" s="73"/>
      <c r="Z297" s="73"/>
      <c r="AA297" s="73"/>
      <c r="AB297" s="73"/>
      <c r="AC297" s="73"/>
    </row>
    <row r="298" spans="1:29" ht="24" customHeight="1" x14ac:dyDescent="0.55000000000000004">
      <c r="A298" s="242"/>
      <c r="E298" s="243"/>
      <c r="F298" s="243"/>
      <c r="G298" s="243"/>
      <c r="H298" s="243"/>
      <c r="I298" s="243"/>
      <c r="J298" s="234"/>
      <c r="K298" s="73"/>
      <c r="L298" s="73"/>
      <c r="M298" s="73"/>
      <c r="N298" s="73"/>
      <c r="O298" s="73"/>
      <c r="P298" s="73"/>
      <c r="Q298" s="73"/>
      <c r="R298" s="73"/>
      <c r="S298" s="73"/>
      <c r="T298" s="73"/>
      <c r="U298" s="73"/>
      <c r="V298" s="73"/>
      <c r="W298" s="73"/>
      <c r="X298" s="73"/>
      <c r="Y298" s="73"/>
      <c r="Z298" s="73"/>
      <c r="AA298" s="73"/>
      <c r="AB298" s="73"/>
      <c r="AC298" s="73"/>
    </row>
    <row r="299" spans="1:29" ht="24" customHeight="1" x14ac:dyDescent="0.55000000000000004">
      <c r="A299" s="242"/>
      <c r="E299" s="243"/>
      <c r="F299" s="243"/>
      <c r="G299" s="243"/>
      <c r="H299" s="243"/>
      <c r="I299" s="243"/>
      <c r="J299" s="234"/>
      <c r="K299" s="73"/>
      <c r="L299" s="73"/>
      <c r="M299" s="73"/>
      <c r="N299" s="73"/>
      <c r="O299" s="73"/>
      <c r="P299" s="73"/>
      <c r="Q299" s="73"/>
      <c r="R299" s="73"/>
      <c r="S299" s="73"/>
      <c r="T299" s="73"/>
      <c r="U299" s="73"/>
      <c r="V299" s="73"/>
      <c r="W299" s="73"/>
      <c r="X299" s="73"/>
      <c r="Y299" s="73"/>
      <c r="Z299" s="73"/>
      <c r="AA299" s="73"/>
      <c r="AB299" s="73"/>
      <c r="AC299" s="73"/>
    </row>
    <row r="300" spans="1:29" ht="24" customHeight="1" x14ac:dyDescent="0.55000000000000004">
      <c r="A300" s="242"/>
      <c r="E300" s="243"/>
      <c r="F300" s="243"/>
      <c r="G300" s="243"/>
      <c r="H300" s="243"/>
      <c r="I300" s="243"/>
      <c r="J300" s="234"/>
      <c r="K300" s="73"/>
      <c r="L300" s="73"/>
      <c r="M300" s="73"/>
      <c r="N300" s="73"/>
      <c r="O300" s="73"/>
      <c r="P300" s="73"/>
      <c r="Q300" s="73"/>
      <c r="R300" s="73"/>
      <c r="S300" s="73"/>
      <c r="T300" s="73"/>
      <c r="U300" s="73"/>
      <c r="V300" s="73"/>
      <c r="W300" s="73"/>
      <c r="X300" s="73"/>
      <c r="Y300" s="73"/>
      <c r="Z300" s="73"/>
      <c r="AA300" s="73"/>
      <c r="AB300" s="73"/>
      <c r="AC300" s="73"/>
    </row>
    <row r="301" spans="1:29" ht="24" customHeight="1" x14ac:dyDescent="0.55000000000000004">
      <c r="A301" s="242"/>
      <c r="E301" s="243"/>
      <c r="F301" s="243"/>
      <c r="G301" s="243"/>
      <c r="H301" s="243"/>
      <c r="I301" s="243"/>
      <c r="J301" s="234"/>
      <c r="K301" s="73"/>
      <c r="L301" s="73"/>
      <c r="M301" s="73"/>
      <c r="N301" s="73"/>
      <c r="O301" s="73"/>
      <c r="P301" s="73"/>
      <c r="Q301" s="73"/>
      <c r="R301" s="73"/>
      <c r="S301" s="73"/>
      <c r="T301" s="73"/>
      <c r="U301" s="73"/>
      <c r="V301" s="73"/>
      <c r="W301" s="73"/>
      <c r="X301" s="73"/>
      <c r="Y301" s="73"/>
      <c r="Z301" s="73"/>
      <c r="AA301" s="73"/>
      <c r="AB301" s="73"/>
      <c r="AC301" s="73"/>
    </row>
    <row r="302" spans="1:29" ht="24" customHeight="1" x14ac:dyDescent="0.55000000000000004">
      <c r="A302" s="242"/>
      <c r="E302" s="243"/>
      <c r="F302" s="243"/>
      <c r="G302" s="243"/>
      <c r="H302" s="243"/>
      <c r="I302" s="243"/>
      <c r="J302" s="234"/>
      <c r="K302" s="73"/>
      <c r="L302" s="73"/>
      <c r="M302" s="73"/>
      <c r="N302" s="73"/>
      <c r="O302" s="73"/>
      <c r="P302" s="73"/>
      <c r="Q302" s="73"/>
      <c r="R302" s="73"/>
      <c r="S302" s="73"/>
      <c r="T302" s="73"/>
      <c r="U302" s="73"/>
      <c r="V302" s="73"/>
      <c r="W302" s="73"/>
      <c r="X302" s="73"/>
      <c r="Y302" s="73"/>
      <c r="Z302" s="73"/>
      <c r="AA302" s="73"/>
      <c r="AB302" s="73"/>
      <c r="AC302" s="73"/>
    </row>
    <row r="303" spans="1:29" ht="24" customHeight="1" x14ac:dyDescent="0.55000000000000004">
      <c r="A303" s="242"/>
      <c r="E303" s="243"/>
      <c r="F303" s="243"/>
      <c r="G303" s="243"/>
      <c r="H303" s="243"/>
      <c r="I303" s="243"/>
      <c r="J303" s="234"/>
      <c r="K303" s="73"/>
      <c r="L303" s="73"/>
      <c r="M303" s="73"/>
      <c r="N303" s="73"/>
      <c r="O303" s="73"/>
      <c r="P303" s="73"/>
      <c r="Q303" s="73"/>
      <c r="R303" s="73"/>
      <c r="S303" s="73"/>
      <c r="T303" s="73"/>
      <c r="U303" s="73"/>
      <c r="V303" s="73"/>
      <c r="W303" s="73"/>
      <c r="X303" s="73"/>
      <c r="Y303" s="73"/>
      <c r="Z303" s="73"/>
      <c r="AA303" s="73"/>
      <c r="AB303" s="73"/>
      <c r="AC303" s="73"/>
    </row>
    <row r="304" spans="1:29" ht="24" customHeight="1" x14ac:dyDescent="0.55000000000000004">
      <c r="A304" s="242"/>
      <c r="E304" s="243"/>
      <c r="F304" s="243"/>
      <c r="G304" s="243"/>
      <c r="H304" s="243"/>
      <c r="I304" s="243"/>
      <c r="J304" s="234"/>
      <c r="K304" s="73"/>
      <c r="L304" s="73"/>
      <c r="M304" s="73"/>
      <c r="N304" s="73"/>
      <c r="O304" s="73"/>
      <c r="P304" s="73"/>
      <c r="Q304" s="73"/>
      <c r="R304" s="73"/>
      <c r="S304" s="73"/>
      <c r="T304" s="73"/>
      <c r="U304" s="73"/>
      <c r="V304" s="73"/>
      <c r="W304" s="73"/>
      <c r="X304" s="73"/>
      <c r="Y304" s="73"/>
      <c r="Z304" s="73"/>
      <c r="AA304" s="73"/>
      <c r="AB304" s="73"/>
      <c r="AC304" s="73"/>
    </row>
    <row r="305" spans="1:29" ht="24" customHeight="1" x14ac:dyDescent="0.55000000000000004">
      <c r="A305" s="242"/>
      <c r="E305" s="243"/>
      <c r="F305" s="243"/>
      <c r="G305" s="243"/>
      <c r="H305" s="243"/>
      <c r="I305" s="243"/>
      <c r="J305" s="234"/>
      <c r="K305" s="73"/>
      <c r="L305" s="73"/>
      <c r="M305" s="73"/>
      <c r="N305" s="73"/>
      <c r="O305" s="73"/>
      <c r="P305" s="73"/>
      <c r="Q305" s="73"/>
      <c r="R305" s="73"/>
      <c r="S305" s="73"/>
      <c r="T305" s="73"/>
      <c r="U305" s="73"/>
      <c r="V305" s="73"/>
      <c r="W305" s="73"/>
      <c r="X305" s="73"/>
      <c r="Y305" s="73"/>
      <c r="Z305" s="73"/>
      <c r="AA305" s="73"/>
      <c r="AB305" s="73"/>
      <c r="AC305" s="73"/>
    </row>
    <row r="306" spans="1:29" ht="24" customHeight="1" x14ac:dyDescent="0.55000000000000004">
      <c r="A306" s="242"/>
      <c r="E306" s="243"/>
      <c r="F306" s="243"/>
      <c r="G306" s="243"/>
      <c r="H306" s="243"/>
      <c r="I306" s="243"/>
      <c r="J306" s="234"/>
      <c r="K306" s="73"/>
      <c r="L306" s="73"/>
      <c r="M306" s="73"/>
      <c r="N306" s="73"/>
      <c r="O306" s="73"/>
      <c r="P306" s="73"/>
      <c r="Q306" s="73"/>
      <c r="R306" s="73"/>
      <c r="S306" s="73"/>
      <c r="T306" s="73"/>
      <c r="U306" s="73"/>
      <c r="V306" s="73"/>
      <c r="W306" s="73"/>
      <c r="X306" s="73"/>
      <c r="Y306" s="73"/>
      <c r="Z306" s="73"/>
      <c r="AA306" s="73"/>
      <c r="AB306" s="73"/>
      <c r="AC306" s="73"/>
    </row>
    <row r="307" spans="1:29" ht="24" customHeight="1" x14ac:dyDescent="0.55000000000000004">
      <c r="A307" s="242"/>
      <c r="E307" s="243"/>
      <c r="F307" s="243"/>
      <c r="G307" s="243"/>
      <c r="H307" s="243"/>
      <c r="I307" s="243"/>
      <c r="J307" s="234"/>
      <c r="K307" s="73"/>
      <c r="L307" s="73"/>
      <c r="M307" s="73"/>
      <c r="N307" s="73"/>
      <c r="O307" s="73"/>
      <c r="P307" s="73"/>
      <c r="Q307" s="73"/>
      <c r="R307" s="73"/>
      <c r="S307" s="73"/>
      <c r="T307" s="73"/>
      <c r="U307" s="73"/>
      <c r="V307" s="73"/>
      <c r="W307" s="73"/>
      <c r="X307" s="73"/>
      <c r="Y307" s="73"/>
      <c r="Z307" s="73"/>
      <c r="AA307" s="73"/>
      <c r="AB307" s="73"/>
      <c r="AC307" s="73"/>
    </row>
    <row r="308" spans="1:29" ht="24" customHeight="1" x14ac:dyDescent="0.55000000000000004">
      <c r="A308" s="242"/>
      <c r="E308" s="243"/>
      <c r="F308" s="243"/>
      <c r="G308" s="243"/>
      <c r="H308" s="243"/>
      <c r="I308" s="243"/>
      <c r="J308" s="234"/>
      <c r="K308" s="73"/>
      <c r="L308" s="73"/>
      <c r="M308" s="73"/>
      <c r="N308" s="73"/>
      <c r="O308" s="73"/>
      <c r="P308" s="73"/>
      <c r="Q308" s="73"/>
      <c r="R308" s="73"/>
      <c r="S308" s="73"/>
      <c r="T308" s="73"/>
      <c r="U308" s="73"/>
      <c r="V308" s="73"/>
      <c r="W308" s="73"/>
      <c r="X308" s="73"/>
      <c r="Y308" s="73"/>
      <c r="Z308" s="73"/>
      <c r="AA308" s="73"/>
      <c r="AB308" s="73"/>
      <c r="AC308" s="73"/>
    </row>
    <row r="309" spans="1:29" ht="24" customHeight="1" x14ac:dyDescent="0.55000000000000004">
      <c r="A309" s="242"/>
      <c r="E309" s="243"/>
      <c r="F309" s="243"/>
      <c r="G309" s="243"/>
      <c r="H309" s="243"/>
      <c r="I309" s="243"/>
      <c r="J309" s="234"/>
      <c r="K309" s="73"/>
      <c r="L309" s="73"/>
      <c r="M309" s="73"/>
      <c r="N309" s="73"/>
      <c r="O309" s="73"/>
      <c r="P309" s="73"/>
      <c r="Q309" s="73"/>
      <c r="R309" s="73"/>
      <c r="S309" s="73"/>
      <c r="T309" s="73"/>
      <c r="U309" s="73"/>
      <c r="V309" s="73"/>
      <c r="W309" s="73"/>
      <c r="X309" s="73"/>
      <c r="Y309" s="73"/>
      <c r="Z309" s="73"/>
      <c r="AA309" s="73"/>
      <c r="AB309" s="73"/>
      <c r="AC309" s="73"/>
    </row>
    <row r="310" spans="1:29" ht="24" customHeight="1" x14ac:dyDescent="0.55000000000000004">
      <c r="A310" s="242"/>
      <c r="E310" s="243"/>
      <c r="F310" s="243"/>
      <c r="G310" s="243"/>
      <c r="H310" s="243"/>
      <c r="I310" s="243"/>
      <c r="J310" s="234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  <c r="Z310" s="73"/>
      <c r="AA310" s="73"/>
      <c r="AB310" s="73"/>
      <c r="AC310" s="73"/>
    </row>
    <row r="311" spans="1:29" ht="24" customHeight="1" x14ac:dyDescent="0.55000000000000004">
      <c r="A311" s="242"/>
      <c r="E311" s="243"/>
      <c r="F311" s="243"/>
      <c r="G311" s="243"/>
      <c r="H311" s="243"/>
      <c r="I311" s="243"/>
      <c r="J311" s="234"/>
      <c r="K311" s="73"/>
      <c r="L311" s="73"/>
      <c r="M311" s="73"/>
      <c r="N311" s="73"/>
      <c r="O311" s="73"/>
      <c r="P311" s="73"/>
      <c r="Q311" s="73"/>
      <c r="R311" s="73"/>
      <c r="S311" s="73"/>
      <c r="T311" s="73"/>
      <c r="U311" s="73"/>
      <c r="V311" s="73"/>
      <c r="W311" s="73"/>
      <c r="X311" s="73"/>
      <c r="Y311" s="73"/>
      <c r="Z311" s="73"/>
      <c r="AA311" s="73"/>
      <c r="AB311" s="73"/>
      <c r="AC311" s="73"/>
    </row>
    <row r="312" spans="1:29" ht="24" customHeight="1" x14ac:dyDescent="0.55000000000000004">
      <c r="A312" s="242"/>
      <c r="E312" s="243"/>
      <c r="F312" s="243"/>
      <c r="G312" s="243"/>
      <c r="H312" s="243"/>
      <c r="I312" s="243"/>
      <c r="J312" s="234"/>
      <c r="K312" s="73"/>
      <c r="L312" s="73"/>
      <c r="M312" s="73"/>
      <c r="N312" s="73"/>
      <c r="O312" s="73"/>
      <c r="P312" s="73"/>
      <c r="Q312" s="73"/>
      <c r="R312" s="73"/>
      <c r="S312" s="73"/>
      <c r="T312" s="73"/>
      <c r="U312" s="73"/>
      <c r="V312" s="73"/>
      <c r="W312" s="73"/>
      <c r="X312" s="73"/>
      <c r="Y312" s="73"/>
      <c r="Z312" s="73"/>
      <c r="AA312" s="73"/>
      <c r="AB312" s="73"/>
      <c r="AC312" s="73"/>
    </row>
    <row r="313" spans="1:29" ht="24" customHeight="1" x14ac:dyDescent="0.55000000000000004">
      <c r="A313" s="242"/>
      <c r="E313" s="243"/>
      <c r="F313" s="243"/>
      <c r="G313" s="243"/>
      <c r="H313" s="243"/>
      <c r="I313" s="243"/>
      <c r="J313" s="234"/>
      <c r="K313" s="73"/>
      <c r="L313" s="73"/>
      <c r="M313" s="73"/>
      <c r="N313" s="73"/>
      <c r="O313" s="73"/>
      <c r="P313" s="73"/>
      <c r="Q313" s="73"/>
      <c r="R313" s="73"/>
      <c r="S313" s="73"/>
      <c r="T313" s="73"/>
      <c r="U313" s="73"/>
      <c r="V313" s="73"/>
      <c r="W313" s="73"/>
      <c r="X313" s="73"/>
      <c r="Y313" s="73"/>
      <c r="Z313" s="73"/>
      <c r="AA313" s="73"/>
      <c r="AB313" s="73"/>
      <c r="AC313" s="73"/>
    </row>
    <row r="314" spans="1:29" ht="24" customHeight="1" x14ac:dyDescent="0.55000000000000004">
      <c r="A314" s="242"/>
      <c r="E314" s="243"/>
      <c r="F314" s="243"/>
      <c r="G314" s="243"/>
      <c r="H314" s="243"/>
      <c r="I314" s="243"/>
      <c r="J314" s="234"/>
      <c r="K314" s="73"/>
      <c r="L314" s="73"/>
      <c r="M314" s="73"/>
      <c r="N314" s="73"/>
      <c r="O314" s="73"/>
      <c r="P314" s="73"/>
      <c r="Q314" s="73"/>
      <c r="R314" s="73"/>
      <c r="S314" s="73"/>
      <c r="T314" s="73"/>
      <c r="U314" s="73"/>
      <c r="V314" s="73"/>
      <c r="W314" s="73"/>
      <c r="X314" s="73"/>
      <c r="Y314" s="73"/>
      <c r="Z314" s="73"/>
      <c r="AA314" s="73"/>
      <c r="AB314" s="73"/>
      <c r="AC314" s="73"/>
    </row>
    <row r="315" spans="1:29" ht="24" customHeight="1" x14ac:dyDescent="0.55000000000000004">
      <c r="A315" s="242"/>
      <c r="E315" s="243"/>
      <c r="F315" s="243"/>
      <c r="G315" s="243"/>
      <c r="H315" s="243"/>
      <c r="I315" s="243"/>
      <c r="J315" s="234"/>
      <c r="K315" s="73"/>
      <c r="L315" s="73"/>
      <c r="M315" s="73"/>
      <c r="N315" s="73"/>
      <c r="O315" s="73"/>
      <c r="P315" s="73"/>
      <c r="Q315" s="73"/>
      <c r="R315" s="73"/>
      <c r="S315" s="73"/>
      <c r="T315" s="73"/>
      <c r="U315" s="73"/>
      <c r="V315" s="73"/>
      <c r="W315" s="73"/>
      <c r="X315" s="73"/>
      <c r="Y315" s="73"/>
      <c r="Z315" s="73"/>
      <c r="AA315" s="73"/>
      <c r="AB315" s="73"/>
      <c r="AC315" s="73"/>
    </row>
    <row r="316" spans="1:29" ht="24" customHeight="1" x14ac:dyDescent="0.55000000000000004">
      <c r="A316" s="242"/>
      <c r="E316" s="243"/>
      <c r="F316" s="243"/>
      <c r="G316" s="243"/>
      <c r="H316" s="243"/>
      <c r="I316" s="243"/>
      <c r="J316" s="234"/>
      <c r="K316" s="73"/>
      <c r="L316" s="73"/>
      <c r="M316" s="73"/>
      <c r="N316" s="73"/>
      <c r="O316" s="73"/>
      <c r="P316" s="73"/>
      <c r="Q316" s="73"/>
      <c r="R316" s="73"/>
      <c r="S316" s="73"/>
      <c r="T316" s="73"/>
      <c r="U316" s="73"/>
      <c r="V316" s="73"/>
      <c r="W316" s="73"/>
      <c r="X316" s="73"/>
      <c r="Y316" s="73"/>
      <c r="Z316" s="73"/>
      <c r="AA316" s="73"/>
      <c r="AB316" s="73"/>
      <c r="AC316" s="73"/>
    </row>
    <row r="317" spans="1:29" ht="15.75" customHeight="1" x14ac:dyDescent="0.4">
      <c r="J317" s="234"/>
    </row>
    <row r="318" spans="1:29" ht="15.75" customHeight="1" x14ac:dyDescent="0.4">
      <c r="J318" s="234"/>
    </row>
    <row r="319" spans="1:29" ht="15.75" customHeight="1" x14ac:dyDescent="0.4">
      <c r="J319" s="234"/>
    </row>
    <row r="320" spans="1:29" ht="15.75" customHeight="1" x14ac:dyDescent="0.4">
      <c r="J320" s="234"/>
    </row>
    <row r="321" spans="10:10" ht="15.75" customHeight="1" x14ac:dyDescent="0.4">
      <c r="J321" s="234"/>
    </row>
    <row r="322" spans="10:10" ht="15.75" customHeight="1" x14ac:dyDescent="0.4">
      <c r="J322" s="234"/>
    </row>
    <row r="323" spans="10:10" ht="15.75" customHeight="1" x14ac:dyDescent="0.4">
      <c r="J323" s="234"/>
    </row>
    <row r="324" spans="10:10" ht="15.75" customHeight="1" x14ac:dyDescent="0.4">
      <c r="J324" s="234"/>
    </row>
    <row r="325" spans="10:10" ht="15.75" customHeight="1" x14ac:dyDescent="0.4">
      <c r="J325" s="234"/>
    </row>
    <row r="326" spans="10:10" ht="15.75" customHeight="1" x14ac:dyDescent="0.4">
      <c r="J326" s="234"/>
    </row>
    <row r="327" spans="10:10" ht="15.75" customHeight="1" x14ac:dyDescent="0.4">
      <c r="J327" s="234"/>
    </row>
    <row r="328" spans="10:10" ht="15.75" customHeight="1" x14ac:dyDescent="0.4">
      <c r="J328" s="234"/>
    </row>
    <row r="329" spans="10:10" ht="15.75" customHeight="1" x14ac:dyDescent="0.4">
      <c r="J329" s="234"/>
    </row>
    <row r="330" spans="10:10" ht="15.75" customHeight="1" x14ac:dyDescent="0.4">
      <c r="J330" s="234"/>
    </row>
    <row r="331" spans="10:10" ht="15.75" customHeight="1" x14ac:dyDescent="0.4">
      <c r="J331" s="234"/>
    </row>
    <row r="332" spans="10:10" ht="15.75" customHeight="1" x14ac:dyDescent="0.4">
      <c r="J332" s="234"/>
    </row>
    <row r="333" spans="10:10" ht="15.75" customHeight="1" x14ac:dyDescent="0.4">
      <c r="J333" s="234"/>
    </row>
    <row r="334" spans="10:10" ht="15.75" customHeight="1" x14ac:dyDescent="0.4">
      <c r="J334" s="234"/>
    </row>
    <row r="335" spans="10:10" ht="15.75" customHeight="1" x14ac:dyDescent="0.4">
      <c r="J335" s="234"/>
    </row>
    <row r="336" spans="10:10" ht="15.75" customHeight="1" x14ac:dyDescent="0.4">
      <c r="J336" s="234"/>
    </row>
    <row r="337" spans="10:10" ht="15.75" customHeight="1" x14ac:dyDescent="0.4">
      <c r="J337" s="234"/>
    </row>
    <row r="338" spans="10:10" ht="15.75" customHeight="1" x14ac:dyDescent="0.4">
      <c r="J338" s="234"/>
    </row>
    <row r="339" spans="10:10" ht="15.75" customHeight="1" x14ac:dyDescent="0.4">
      <c r="J339" s="234"/>
    </row>
    <row r="340" spans="10:10" ht="15.75" customHeight="1" x14ac:dyDescent="0.4">
      <c r="J340" s="234"/>
    </row>
    <row r="341" spans="10:10" ht="15.75" customHeight="1" x14ac:dyDescent="0.4">
      <c r="J341" s="234"/>
    </row>
    <row r="342" spans="10:10" ht="15.75" customHeight="1" x14ac:dyDescent="0.4">
      <c r="J342" s="234"/>
    </row>
    <row r="343" spans="10:10" ht="15.75" customHeight="1" x14ac:dyDescent="0.4">
      <c r="J343" s="234"/>
    </row>
    <row r="344" spans="10:10" ht="15.75" customHeight="1" x14ac:dyDescent="0.4">
      <c r="J344" s="234"/>
    </row>
    <row r="345" spans="10:10" ht="15.75" customHeight="1" x14ac:dyDescent="0.4">
      <c r="J345" s="234"/>
    </row>
    <row r="346" spans="10:10" ht="15.75" customHeight="1" x14ac:dyDescent="0.4">
      <c r="J346" s="234"/>
    </row>
    <row r="347" spans="10:10" ht="15.75" customHeight="1" x14ac:dyDescent="0.4">
      <c r="J347" s="234"/>
    </row>
    <row r="348" spans="10:10" ht="15.75" customHeight="1" x14ac:dyDescent="0.4">
      <c r="J348" s="234"/>
    </row>
    <row r="349" spans="10:10" ht="15.75" customHeight="1" x14ac:dyDescent="0.4">
      <c r="J349" s="234"/>
    </row>
    <row r="350" spans="10:10" ht="15.75" customHeight="1" x14ac:dyDescent="0.4">
      <c r="J350" s="234"/>
    </row>
    <row r="351" spans="10:10" ht="15.75" customHeight="1" x14ac:dyDescent="0.4">
      <c r="J351" s="234"/>
    </row>
    <row r="352" spans="10:10" ht="15.75" customHeight="1" x14ac:dyDescent="0.4">
      <c r="J352" s="234"/>
    </row>
    <row r="353" spans="10:10" ht="15.75" customHeight="1" x14ac:dyDescent="0.4">
      <c r="J353" s="234"/>
    </row>
    <row r="354" spans="10:10" ht="15.75" customHeight="1" x14ac:dyDescent="0.4">
      <c r="J354" s="234"/>
    </row>
    <row r="355" spans="10:10" ht="15.75" customHeight="1" x14ac:dyDescent="0.4">
      <c r="J355" s="234"/>
    </row>
    <row r="356" spans="10:10" ht="15.75" customHeight="1" x14ac:dyDescent="0.4">
      <c r="J356" s="234"/>
    </row>
    <row r="357" spans="10:10" ht="15.75" customHeight="1" x14ac:dyDescent="0.4">
      <c r="J357" s="234"/>
    </row>
    <row r="358" spans="10:10" ht="15.75" customHeight="1" x14ac:dyDescent="0.4">
      <c r="J358" s="234"/>
    </row>
    <row r="359" spans="10:10" ht="15.75" customHeight="1" x14ac:dyDescent="0.4">
      <c r="J359" s="234"/>
    </row>
    <row r="360" spans="10:10" ht="15.75" customHeight="1" x14ac:dyDescent="0.4">
      <c r="J360" s="234"/>
    </row>
    <row r="361" spans="10:10" ht="15.75" customHeight="1" x14ac:dyDescent="0.4">
      <c r="J361" s="234"/>
    </row>
    <row r="362" spans="10:10" ht="15.75" customHeight="1" x14ac:dyDescent="0.4">
      <c r="J362" s="234"/>
    </row>
    <row r="363" spans="10:10" ht="15.75" customHeight="1" x14ac:dyDescent="0.4">
      <c r="J363" s="234"/>
    </row>
    <row r="364" spans="10:10" ht="15.75" customHeight="1" x14ac:dyDescent="0.4">
      <c r="J364" s="234"/>
    </row>
    <row r="365" spans="10:10" ht="15.75" customHeight="1" x14ac:dyDescent="0.4">
      <c r="J365" s="234"/>
    </row>
    <row r="366" spans="10:10" ht="15.75" customHeight="1" x14ac:dyDescent="0.4">
      <c r="J366" s="234"/>
    </row>
    <row r="367" spans="10:10" ht="15.75" customHeight="1" x14ac:dyDescent="0.4">
      <c r="J367" s="234"/>
    </row>
    <row r="368" spans="10:10" ht="15.75" customHeight="1" x14ac:dyDescent="0.4">
      <c r="J368" s="234"/>
    </row>
    <row r="369" spans="10:10" ht="15.75" customHeight="1" x14ac:dyDescent="0.4">
      <c r="J369" s="234"/>
    </row>
    <row r="370" spans="10:10" ht="15.75" customHeight="1" x14ac:dyDescent="0.4">
      <c r="J370" s="234"/>
    </row>
    <row r="371" spans="10:10" ht="15.75" customHeight="1" x14ac:dyDescent="0.4">
      <c r="J371" s="234"/>
    </row>
    <row r="372" spans="10:10" ht="15.75" customHeight="1" x14ac:dyDescent="0.4">
      <c r="J372" s="234"/>
    </row>
    <row r="373" spans="10:10" ht="15.75" customHeight="1" x14ac:dyDescent="0.4">
      <c r="J373" s="234"/>
    </row>
    <row r="374" spans="10:10" ht="15.75" customHeight="1" x14ac:dyDescent="0.4">
      <c r="J374" s="234"/>
    </row>
    <row r="375" spans="10:10" ht="15.75" customHeight="1" x14ac:dyDescent="0.4">
      <c r="J375" s="234"/>
    </row>
    <row r="376" spans="10:10" ht="15.75" customHeight="1" x14ac:dyDescent="0.4">
      <c r="J376" s="234"/>
    </row>
    <row r="377" spans="10:10" ht="15.75" customHeight="1" x14ac:dyDescent="0.4">
      <c r="J377" s="234"/>
    </row>
    <row r="378" spans="10:10" ht="15.75" customHeight="1" x14ac:dyDescent="0.4">
      <c r="J378" s="234"/>
    </row>
    <row r="379" spans="10:10" ht="15.75" customHeight="1" x14ac:dyDescent="0.4">
      <c r="J379" s="234"/>
    </row>
    <row r="380" spans="10:10" ht="15.75" customHeight="1" x14ac:dyDescent="0.4">
      <c r="J380" s="234"/>
    </row>
    <row r="381" spans="10:10" ht="15.75" customHeight="1" x14ac:dyDescent="0.4">
      <c r="J381" s="234"/>
    </row>
    <row r="382" spans="10:10" ht="15.75" customHeight="1" x14ac:dyDescent="0.4">
      <c r="J382" s="234"/>
    </row>
    <row r="383" spans="10:10" ht="15.75" customHeight="1" x14ac:dyDescent="0.4">
      <c r="J383" s="234"/>
    </row>
    <row r="384" spans="10:10" ht="15.75" customHeight="1" x14ac:dyDescent="0.4">
      <c r="J384" s="234"/>
    </row>
    <row r="385" spans="10:10" ht="15.75" customHeight="1" x14ac:dyDescent="0.4">
      <c r="J385" s="234"/>
    </row>
    <row r="386" spans="10:10" ht="15.75" customHeight="1" x14ac:dyDescent="0.4">
      <c r="J386" s="234"/>
    </row>
    <row r="387" spans="10:10" ht="15.75" customHeight="1" x14ac:dyDescent="0.4">
      <c r="J387" s="234"/>
    </row>
    <row r="388" spans="10:10" ht="15.75" customHeight="1" x14ac:dyDescent="0.4">
      <c r="J388" s="234"/>
    </row>
    <row r="389" spans="10:10" ht="15.75" customHeight="1" x14ac:dyDescent="0.4">
      <c r="J389" s="234"/>
    </row>
    <row r="390" spans="10:10" ht="15.75" customHeight="1" x14ac:dyDescent="0.4">
      <c r="J390" s="234"/>
    </row>
    <row r="391" spans="10:10" ht="15.75" customHeight="1" x14ac:dyDescent="0.4">
      <c r="J391" s="234"/>
    </row>
    <row r="392" spans="10:10" ht="15.75" customHeight="1" x14ac:dyDescent="0.4">
      <c r="J392" s="234"/>
    </row>
    <row r="393" spans="10:10" ht="15.75" customHeight="1" x14ac:dyDescent="0.4">
      <c r="J393" s="234"/>
    </row>
    <row r="394" spans="10:10" ht="15.75" customHeight="1" x14ac:dyDescent="0.4">
      <c r="J394" s="234"/>
    </row>
    <row r="395" spans="10:10" ht="15.75" customHeight="1" x14ac:dyDescent="0.4">
      <c r="J395" s="234"/>
    </row>
    <row r="396" spans="10:10" ht="15.75" customHeight="1" x14ac:dyDescent="0.4">
      <c r="J396" s="234"/>
    </row>
    <row r="397" spans="10:10" ht="15.75" customHeight="1" x14ac:dyDescent="0.4">
      <c r="J397" s="234"/>
    </row>
    <row r="398" spans="10:10" ht="15.75" customHeight="1" x14ac:dyDescent="0.4">
      <c r="J398" s="234"/>
    </row>
    <row r="399" spans="10:10" ht="15.75" customHeight="1" x14ac:dyDescent="0.4">
      <c r="J399" s="234"/>
    </row>
    <row r="400" spans="10:10" ht="15.75" customHeight="1" x14ac:dyDescent="0.4">
      <c r="J400" s="234"/>
    </row>
    <row r="401" spans="10:10" ht="15.75" customHeight="1" x14ac:dyDescent="0.4">
      <c r="J401" s="234"/>
    </row>
    <row r="402" spans="10:10" ht="15.75" customHeight="1" x14ac:dyDescent="0.4">
      <c r="J402" s="234"/>
    </row>
    <row r="403" spans="10:10" ht="15.75" customHeight="1" x14ac:dyDescent="0.4">
      <c r="J403" s="234"/>
    </row>
    <row r="404" spans="10:10" ht="15.75" customHeight="1" x14ac:dyDescent="0.4">
      <c r="J404" s="234"/>
    </row>
    <row r="405" spans="10:10" ht="15.75" customHeight="1" x14ac:dyDescent="0.4">
      <c r="J405" s="234"/>
    </row>
    <row r="406" spans="10:10" ht="15.75" customHeight="1" x14ac:dyDescent="0.4">
      <c r="J406" s="234"/>
    </row>
    <row r="407" spans="10:10" ht="15.75" customHeight="1" x14ac:dyDescent="0.4">
      <c r="J407" s="234"/>
    </row>
    <row r="408" spans="10:10" ht="15.75" customHeight="1" x14ac:dyDescent="0.4">
      <c r="J408" s="234"/>
    </row>
    <row r="409" spans="10:10" ht="15.75" customHeight="1" x14ac:dyDescent="0.4">
      <c r="J409" s="234"/>
    </row>
    <row r="410" spans="10:10" ht="15.75" customHeight="1" x14ac:dyDescent="0.4">
      <c r="J410" s="234"/>
    </row>
    <row r="411" spans="10:10" ht="15.75" customHeight="1" x14ac:dyDescent="0.4">
      <c r="J411" s="234"/>
    </row>
    <row r="412" spans="10:10" ht="15.75" customHeight="1" x14ac:dyDescent="0.4">
      <c r="J412" s="234"/>
    </row>
    <row r="413" spans="10:10" ht="15.75" customHeight="1" x14ac:dyDescent="0.4">
      <c r="J413" s="234"/>
    </row>
    <row r="414" spans="10:10" ht="15.75" customHeight="1" x14ac:dyDescent="0.4">
      <c r="J414" s="234"/>
    </row>
    <row r="415" spans="10:10" ht="15.75" customHeight="1" x14ac:dyDescent="0.4">
      <c r="J415" s="234"/>
    </row>
    <row r="416" spans="10:10" ht="15.75" customHeight="1" x14ac:dyDescent="0.4">
      <c r="J416" s="234"/>
    </row>
    <row r="417" spans="10:10" ht="15.75" customHeight="1" x14ac:dyDescent="0.4">
      <c r="J417" s="234"/>
    </row>
    <row r="418" spans="10:10" ht="15.75" customHeight="1" x14ac:dyDescent="0.4">
      <c r="J418" s="234"/>
    </row>
    <row r="419" spans="10:10" ht="15.75" customHeight="1" x14ac:dyDescent="0.4">
      <c r="J419" s="234"/>
    </row>
    <row r="420" spans="10:10" ht="15.75" customHeight="1" x14ac:dyDescent="0.4">
      <c r="J420" s="234"/>
    </row>
    <row r="421" spans="10:10" ht="15.75" customHeight="1" x14ac:dyDescent="0.4">
      <c r="J421" s="234"/>
    </row>
    <row r="422" spans="10:10" ht="15.75" customHeight="1" x14ac:dyDescent="0.4">
      <c r="J422" s="234"/>
    </row>
    <row r="423" spans="10:10" ht="15.75" customHeight="1" x14ac:dyDescent="0.4">
      <c r="J423" s="234"/>
    </row>
    <row r="424" spans="10:10" ht="15.75" customHeight="1" x14ac:dyDescent="0.4">
      <c r="J424" s="234"/>
    </row>
    <row r="425" spans="10:10" ht="15.75" customHeight="1" x14ac:dyDescent="0.4">
      <c r="J425" s="234"/>
    </row>
    <row r="426" spans="10:10" ht="15.75" customHeight="1" x14ac:dyDescent="0.4">
      <c r="J426" s="234"/>
    </row>
    <row r="427" spans="10:10" ht="15.75" customHeight="1" x14ac:dyDescent="0.4">
      <c r="J427" s="234"/>
    </row>
    <row r="428" spans="10:10" ht="15.75" customHeight="1" x14ac:dyDescent="0.4">
      <c r="J428" s="234"/>
    </row>
    <row r="429" spans="10:10" ht="15.75" customHeight="1" x14ac:dyDescent="0.4">
      <c r="J429" s="234"/>
    </row>
    <row r="430" spans="10:10" ht="15.75" customHeight="1" x14ac:dyDescent="0.4">
      <c r="J430" s="234"/>
    </row>
    <row r="431" spans="10:10" ht="15.75" customHeight="1" x14ac:dyDescent="0.4">
      <c r="J431" s="234"/>
    </row>
    <row r="432" spans="10:10" ht="15.75" customHeight="1" x14ac:dyDescent="0.4">
      <c r="J432" s="234"/>
    </row>
    <row r="433" spans="10:10" ht="15.75" customHeight="1" x14ac:dyDescent="0.4">
      <c r="J433" s="234"/>
    </row>
    <row r="434" spans="10:10" ht="15.75" customHeight="1" x14ac:dyDescent="0.4">
      <c r="J434" s="234"/>
    </row>
    <row r="435" spans="10:10" ht="15.75" customHeight="1" x14ac:dyDescent="0.4">
      <c r="J435" s="234"/>
    </row>
    <row r="436" spans="10:10" ht="15.75" customHeight="1" x14ac:dyDescent="0.4">
      <c r="J436" s="234"/>
    </row>
    <row r="437" spans="10:10" ht="15.75" customHeight="1" x14ac:dyDescent="0.4">
      <c r="J437" s="234"/>
    </row>
    <row r="438" spans="10:10" ht="15.75" customHeight="1" x14ac:dyDescent="0.4">
      <c r="J438" s="234"/>
    </row>
    <row r="439" spans="10:10" ht="15.75" customHeight="1" x14ac:dyDescent="0.4">
      <c r="J439" s="234"/>
    </row>
    <row r="440" spans="10:10" ht="15.75" customHeight="1" x14ac:dyDescent="0.4">
      <c r="J440" s="234"/>
    </row>
    <row r="441" spans="10:10" ht="15.75" customHeight="1" x14ac:dyDescent="0.4">
      <c r="J441" s="234"/>
    </row>
    <row r="442" spans="10:10" ht="15.75" customHeight="1" x14ac:dyDescent="0.4">
      <c r="J442" s="234"/>
    </row>
    <row r="443" spans="10:10" ht="15.75" customHeight="1" x14ac:dyDescent="0.4">
      <c r="J443" s="234"/>
    </row>
    <row r="444" spans="10:10" ht="15.75" customHeight="1" x14ac:dyDescent="0.4">
      <c r="J444" s="234"/>
    </row>
    <row r="445" spans="10:10" ht="15.75" customHeight="1" x14ac:dyDescent="0.4">
      <c r="J445" s="234"/>
    </row>
    <row r="446" spans="10:10" ht="15.75" customHeight="1" x14ac:dyDescent="0.4">
      <c r="J446" s="234"/>
    </row>
    <row r="447" spans="10:10" ht="15.75" customHeight="1" x14ac:dyDescent="0.4">
      <c r="J447" s="234"/>
    </row>
    <row r="448" spans="10:10" ht="15.75" customHeight="1" x14ac:dyDescent="0.4">
      <c r="J448" s="234"/>
    </row>
    <row r="449" spans="10:10" ht="15.75" customHeight="1" x14ac:dyDescent="0.4">
      <c r="J449" s="234"/>
    </row>
    <row r="450" spans="10:10" ht="15.75" customHeight="1" x14ac:dyDescent="0.4">
      <c r="J450" s="234"/>
    </row>
    <row r="451" spans="10:10" ht="15.75" customHeight="1" x14ac:dyDescent="0.4">
      <c r="J451" s="234"/>
    </row>
    <row r="452" spans="10:10" ht="15.75" customHeight="1" x14ac:dyDescent="0.4">
      <c r="J452" s="234"/>
    </row>
    <row r="453" spans="10:10" ht="15.75" customHeight="1" x14ac:dyDescent="0.4">
      <c r="J453" s="234"/>
    </row>
    <row r="454" spans="10:10" ht="15.75" customHeight="1" x14ac:dyDescent="0.4">
      <c r="J454" s="234"/>
    </row>
    <row r="455" spans="10:10" ht="15.75" customHeight="1" x14ac:dyDescent="0.4">
      <c r="J455" s="234"/>
    </row>
    <row r="456" spans="10:10" ht="15.75" customHeight="1" x14ac:dyDescent="0.4">
      <c r="J456" s="234"/>
    </row>
    <row r="457" spans="10:10" ht="15.75" customHeight="1" x14ac:dyDescent="0.4">
      <c r="J457" s="234"/>
    </row>
    <row r="458" spans="10:10" ht="15.75" customHeight="1" x14ac:dyDescent="0.4">
      <c r="J458" s="234"/>
    </row>
    <row r="459" spans="10:10" ht="15.75" customHeight="1" x14ac:dyDescent="0.4">
      <c r="J459" s="234"/>
    </row>
    <row r="460" spans="10:10" ht="15.75" customHeight="1" x14ac:dyDescent="0.4">
      <c r="J460" s="234"/>
    </row>
    <row r="461" spans="10:10" ht="15.75" customHeight="1" x14ac:dyDescent="0.4">
      <c r="J461" s="234"/>
    </row>
    <row r="462" spans="10:10" ht="15.75" customHeight="1" x14ac:dyDescent="0.4">
      <c r="J462" s="234"/>
    </row>
    <row r="463" spans="10:10" ht="15.75" customHeight="1" x14ac:dyDescent="0.4">
      <c r="J463" s="234"/>
    </row>
    <row r="464" spans="10:10" ht="15.75" customHeight="1" x14ac:dyDescent="0.4">
      <c r="J464" s="234"/>
    </row>
    <row r="465" spans="10:10" ht="15.75" customHeight="1" x14ac:dyDescent="0.4">
      <c r="J465" s="234"/>
    </row>
    <row r="466" spans="10:10" ht="15.75" customHeight="1" x14ac:dyDescent="0.4">
      <c r="J466" s="234"/>
    </row>
    <row r="467" spans="10:10" ht="15.75" customHeight="1" x14ac:dyDescent="0.4">
      <c r="J467" s="234"/>
    </row>
    <row r="468" spans="10:10" ht="15.75" customHeight="1" x14ac:dyDescent="0.4">
      <c r="J468" s="234"/>
    </row>
    <row r="469" spans="10:10" ht="15.75" customHeight="1" x14ac:dyDescent="0.4">
      <c r="J469" s="234"/>
    </row>
    <row r="470" spans="10:10" ht="15.75" customHeight="1" x14ac:dyDescent="0.4">
      <c r="J470" s="234"/>
    </row>
    <row r="471" spans="10:10" ht="15.75" customHeight="1" x14ac:dyDescent="0.4">
      <c r="J471" s="234"/>
    </row>
    <row r="472" spans="10:10" ht="15.75" customHeight="1" x14ac:dyDescent="0.4">
      <c r="J472" s="234"/>
    </row>
    <row r="473" spans="10:10" ht="15.75" customHeight="1" x14ac:dyDescent="0.4">
      <c r="J473" s="234"/>
    </row>
    <row r="474" spans="10:10" ht="15.75" customHeight="1" x14ac:dyDescent="0.4">
      <c r="J474" s="234"/>
    </row>
    <row r="475" spans="10:10" ht="15.75" customHeight="1" x14ac:dyDescent="0.4">
      <c r="J475" s="234"/>
    </row>
    <row r="476" spans="10:10" ht="15.75" customHeight="1" x14ac:dyDescent="0.4">
      <c r="J476" s="234"/>
    </row>
    <row r="477" spans="10:10" ht="15.75" customHeight="1" x14ac:dyDescent="0.4">
      <c r="J477" s="234"/>
    </row>
    <row r="478" spans="10:10" ht="15.75" customHeight="1" x14ac:dyDescent="0.4">
      <c r="J478" s="234"/>
    </row>
    <row r="479" spans="10:10" ht="15.75" customHeight="1" x14ac:dyDescent="0.4">
      <c r="J479" s="234"/>
    </row>
    <row r="480" spans="10:10" ht="15.75" customHeight="1" x14ac:dyDescent="0.4">
      <c r="J480" s="234"/>
    </row>
    <row r="481" spans="10:10" ht="15.75" customHeight="1" x14ac:dyDescent="0.4">
      <c r="J481" s="234"/>
    </row>
    <row r="482" spans="10:10" ht="15.75" customHeight="1" x14ac:dyDescent="0.4">
      <c r="J482" s="234"/>
    </row>
    <row r="483" spans="10:10" ht="15.75" customHeight="1" x14ac:dyDescent="0.4">
      <c r="J483" s="234"/>
    </row>
    <row r="484" spans="10:10" ht="15.75" customHeight="1" x14ac:dyDescent="0.4">
      <c r="J484" s="234"/>
    </row>
    <row r="485" spans="10:10" ht="15.75" customHeight="1" x14ac:dyDescent="0.4">
      <c r="J485" s="234"/>
    </row>
    <row r="486" spans="10:10" ht="15.75" customHeight="1" x14ac:dyDescent="0.4">
      <c r="J486" s="234"/>
    </row>
    <row r="487" spans="10:10" ht="15.75" customHeight="1" x14ac:dyDescent="0.4">
      <c r="J487" s="234"/>
    </row>
    <row r="488" spans="10:10" ht="15.75" customHeight="1" x14ac:dyDescent="0.4">
      <c r="J488" s="234"/>
    </row>
    <row r="489" spans="10:10" ht="15.75" customHeight="1" x14ac:dyDescent="0.4">
      <c r="J489" s="234"/>
    </row>
    <row r="490" spans="10:10" ht="15.75" customHeight="1" x14ac:dyDescent="0.4">
      <c r="J490" s="234"/>
    </row>
    <row r="491" spans="10:10" ht="15.75" customHeight="1" x14ac:dyDescent="0.4">
      <c r="J491" s="234"/>
    </row>
    <row r="492" spans="10:10" ht="15.75" customHeight="1" x14ac:dyDescent="0.4">
      <c r="J492" s="234"/>
    </row>
    <row r="493" spans="10:10" ht="15.75" customHeight="1" x14ac:dyDescent="0.4">
      <c r="J493" s="234"/>
    </row>
    <row r="494" spans="10:10" ht="15.75" customHeight="1" x14ac:dyDescent="0.4">
      <c r="J494" s="234"/>
    </row>
    <row r="495" spans="10:10" ht="15.75" customHeight="1" x14ac:dyDescent="0.4">
      <c r="J495" s="234"/>
    </row>
    <row r="496" spans="10:10" ht="15.75" customHeight="1" x14ac:dyDescent="0.4">
      <c r="J496" s="234"/>
    </row>
    <row r="497" spans="10:10" ht="15.75" customHeight="1" x14ac:dyDescent="0.4">
      <c r="J497" s="234"/>
    </row>
    <row r="498" spans="10:10" ht="15.75" customHeight="1" x14ac:dyDescent="0.4">
      <c r="J498" s="234"/>
    </row>
    <row r="499" spans="10:10" ht="15.75" customHeight="1" x14ac:dyDescent="0.4">
      <c r="J499" s="234"/>
    </row>
    <row r="500" spans="10:10" ht="15.75" customHeight="1" x14ac:dyDescent="0.4">
      <c r="J500" s="234"/>
    </row>
    <row r="501" spans="10:10" ht="15.75" customHeight="1" x14ac:dyDescent="0.4">
      <c r="J501" s="234"/>
    </row>
    <row r="502" spans="10:10" ht="15.75" customHeight="1" x14ac:dyDescent="0.4">
      <c r="J502" s="234"/>
    </row>
    <row r="503" spans="10:10" ht="15.75" customHeight="1" x14ac:dyDescent="0.4">
      <c r="J503" s="234"/>
    </row>
    <row r="504" spans="10:10" ht="15.75" customHeight="1" x14ac:dyDescent="0.4">
      <c r="J504" s="234"/>
    </row>
    <row r="505" spans="10:10" ht="15.75" customHeight="1" x14ac:dyDescent="0.4">
      <c r="J505" s="234"/>
    </row>
    <row r="506" spans="10:10" ht="15.75" customHeight="1" x14ac:dyDescent="0.4">
      <c r="J506" s="234"/>
    </row>
    <row r="507" spans="10:10" ht="15.75" customHeight="1" x14ac:dyDescent="0.4">
      <c r="J507" s="234"/>
    </row>
    <row r="508" spans="10:10" ht="15.75" customHeight="1" x14ac:dyDescent="0.4">
      <c r="J508" s="234"/>
    </row>
    <row r="509" spans="10:10" ht="15.75" customHeight="1" x14ac:dyDescent="0.4">
      <c r="J509" s="234"/>
    </row>
    <row r="510" spans="10:10" ht="15.75" customHeight="1" x14ac:dyDescent="0.4">
      <c r="J510" s="234"/>
    </row>
    <row r="511" spans="10:10" ht="15.75" customHeight="1" x14ac:dyDescent="0.4">
      <c r="J511" s="234"/>
    </row>
    <row r="512" spans="10:10" ht="15.75" customHeight="1" x14ac:dyDescent="0.4">
      <c r="J512" s="234"/>
    </row>
    <row r="513" spans="10:10" ht="15.75" customHeight="1" x14ac:dyDescent="0.4">
      <c r="J513" s="234"/>
    </row>
    <row r="514" spans="10:10" ht="15.75" customHeight="1" x14ac:dyDescent="0.4">
      <c r="J514" s="234"/>
    </row>
    <row r="515" spans="10:10" ht="15.75" customHeight="1" x14ac:dyDescent="0.4">
      <c r="J515" s="234"/>
    </row>
    <row r="516" spans="10:10" ht="15.75" customHeight="1" x14ac:dyDescent="0.4">
      <c r="J516" s="234"/>
    </row>
    <row r="517" spans="10:10" ht="15.75" customHeight="1" x14ac:dyDescent="0.4">
      <c r="J517" s="234"/>
    </row>
    <row r="518" spans="10:10" ht="15.75" customHeight="1" x14ac:dyDescent="0.4">
      <c r="J518" s="234"/>
    </row>
    <row r="519" spans="10:10" ht="15.75" customHeight="1" x14ac:dyDescent="0.4">
      <c r="J519" s="234"/>
    </row>
    <row r="520" spans="10:10" ht="15.75" customHeight="1" x14ac:dyDescent="0.4">
      <c r="J520" s="234"/>
    </row>
    <row r="521" spans="10:10" ht="15.75" customHeight="1" x14ac:dyDescent="0.4">
      <c r="J521" s="234"/>
    </row>
    <row r="522" spans="10:10" ht="15.75" customHeight="1" x14ac:dyDescent="0.4">
      <c r="J522" s="234"/>
    </row>
    <row r="523" spans="10:10" ht="15.75" customHeight="1" x14ac:dyDescent="0.4">
      <c r="J523" s="234"/>
    </row>
    <row r="524" spans="10:10" ht="15.75" customHeight="1" x14ac:dyDescent="0.4">
      <c r="J524" s="234"/>
    </row>
    <row r="525" spans="10:10" ht="15.75" customHeight="1" x14ac:dyDescent="0.4">
      <c r="J525" s="234"/>
    </row>
    <row r="526" spans="10:10" ht="15.75" customHeight="1" x14ac:dyDescent="0.4">
      <c r="J526" s="234"/>
    </row>
    <row r="527" spans="10:10" ht="15.75" customHeight="1" x14ac:dyDescent="0.4">
      <c r="J527" s="234"/>
    </row>
    <row r="528" spans="10:10" ht="15.75" customHeight="1" x14ac:dyDescent="0.4">
      <c r="J528" s="234"/>
    </row>
    <row r="529" spans="10:10" ht="15.75" customHeight="1" x14ac:dyDescent="0.4">
      <c r="J529" s="234"/>
    </row>
    <row r="530" spans="10:10" ht="15.75" customHeight="1" x14ac:dyDescent="0.4">
      <c r="J530" s="234"/>
    </row>
    <row r="531" spans="10:10" ht="15.75" customHeight="1" x14ac:dyDescent="0.4">
      <c r="J531" s="234"/>
    </row>
    <row r="532" spans="10:10" ht="15.75" customHeight="1" x14ac:dyDescent="0.4">
      <c r="J532" s="234"/>
    </row>
    <row r="533" spans="10:10" ht="15.75" customHeight="1" x14ac:dyDescent="0.4">
      <c r="J533" s="234"/>
    </row>
    <row r="534" spans="10:10" ht="15.75" customHeight="1" x14ac:dyDescent="0.4">
      <c r="J534" s="234"/>
    </row>
    <row r="535" spans="10:10" ht="15.75" customHeight="1" x14ac:dyDescent="0.4">
      <c r="J535" s="234"/>
    </row>
    <row r="536" spans="10:10" ht="15.75" customHeight="1" x14ac:dyDescent="0.4">
      <c r="J536" s="234"/>
    </row>
    <row r="537" spans="10:10" ht="15.75" customHeight="1" x14ac:dyDescent="0.4">
      <c r="J537" s="234"/>
    </row>
    <row r="538" spans="10:10" ht="15.75" customHeight="1" x14ac:dyDescent="0.4">
      <c r="J538" s="234"/>
    </row>
    <row r="539" spans="10:10" ht="15.75" customHeight="1" x14ac:dyDescent="0.4">
      <c r="J539" s="234"/>
    </row>
    <row r="540" spans="10:10" ht="15.75" customHeight="1" x14ac:dyDescent="0.4">
      <c r="J540" s="234"/>
    </row>
    <row r="541" spans="10:10" ht="15.75" customHeight="1" x14ac:dyDescent="0.4">
      <c r="J541" s="234"/>
    </row>
    <row r="542" spans="10:10" ht="15.75" customHeight="1" x14ac:dyDescent="0.4">
      <c r="J542" s="234"/>
    </row>
    <row r="543" spans="10:10" ht="15.75" customHeight="1" x14ac:dyDescent="0.4">
      <c r="J543" s="234"/>
    </row>
    <row r="544" spans="10:10" ht="15.75" customHeight="1" x14ac:dyDescent="0.4">
      <c r="J544" s="234"/>
    </row>
    <row r="545" spans="10:10" ht="15.75" customHeight="1" x14ac:dyDescent="0.4">
      <c r="J545" s="234"/>
    </row>
    <row r="546" spans="10:10" ht="15.75" customHeight="1" x14ac:dyDescent="0.4">
      <c r="J546" s="234"/>
    </row>
    <row r="547" spans="10:10" ht="15.75" customHeight="1" x14ac:dyDescent="0.4">
      <c r="J547" s="234"/>
    </row>
    <row r="548" spans="10:10" ht="15.75" customHeight="1" x14ac:dyDescent="0.4">
      <c r="J548" s="234"/>
    </row>
    <row r="549" spans="10:10" ht="15.75" customHeight="1" x14ac:dyDescent="0.4">
      <c r="J549" s="234"/>
    </row>
    <row r="550" spans="10:10" ht="15.75" customHeight="1" x14ac:dyDescent="0.4">
      <c r="J550" s="234"/>
    </row>
    <row r="551" spans="10:10" ht="15.75" customHeight="1" x14ac:dyDescent="0.4">
      <c r="J551" s="234"/>
    </row>
    <row r="552" spans="10:10" ht="15.75" customHeight="1" x14ac:dyDescent="0.4">
      <c r="J552" s="234"/>
    </row>
    <row r="553" spans="10:10" ht="15.75" customHeight="1" x14ac:dyDescent="0.4">
      <c r="J553" s="234"/>
    </row>
    <row r="554" spans="10:10" ht="15.75" customHeight="1" x14ac:dyDescent="0.4">
      <c r="J554" s="234"/>
    </row>
    <row r="555" spans="10:10" ht="15.75" customHeight="1" x14ac:dyDescent="0.4">
      <c r="J555" s="234"/>
    </row>
    <row r="556" spans="10:10" ht="15.75" customHeight="1" x14ac:dyDescent="0.4">
      <c r="J556" s="234"/>
    </row>
    <row r="557" spans="10:10" ht="15.75" customHeight="1" x14ac:dyDescent="0.4">
      <c r="J557" s="234"/>
    </row>
    <row r="558" spans="10:10" ht="15.75" customHeight="1" x14ac:dyDescent="0.4">
      <c r="J558" s="234"/>
    </row>
    <row r="559" spans="10:10" ht="15.75" customHeight="1" x14ac:dyDescent="0.4">
      <c r="J559" s="234"/>
    </row>
    <row r="560" spans="10:10" ht="15.75" customHeight="1" x14ac:dyDescent="0.4">
      <c r="J560" s="234"/>
    </row>
    <row r="561" spans="10:10" ht="15.75" customHeight="1" x14ac:dyDescent="0.4">
      <c r="J561" s="234"/>
    </row>
    <row r="562" spans="10:10" ht="15.75" customHeight="1" x14ac:dyDescent="0.4">
      <c r="J562" s="234"/>
    </row>
    <row r="563" spans="10:10" ht="15.75" customHeight="1" x14ac:dyDescent="0.4">
      <c r="J563" s="234"/>
    </row>
    <row r="564" spans="10:10" ht="15.75" customHeight="1" x14ac:dyDescent="0.4">
      <c r="J564" s="234"/>
    </row>
    <row r="565" spans="10:10" ht="15.75" customHeight="1" x14ac:dyDescent="0.4">
      <c r="J565" s="234"/>
    </row>
    <row r="566" spans="10:10" ht="15.75" customHeight="1" x14ac:dyDescent="0.4">
      <c r="J566" s="234"/>
    </row>
    <row r="567" spans="10:10" ht="15.75" customHeight="1" x14ac:dyDescent="0.4">
      <c r="J567" s="234"/>
    </row>
    <row r="568" spans="10:10" ht="15.75" customHeight="1" x14ac:dyDescent="0.4">
      <c r="J568" s="234"/>
    </row>
    <row r="569" spans="10:10" ht="15.75" customHeight="1" x14ac:dyDescent="0.4">
      <c r="J569" s="234"/>
    </row>
    <row r="570" spans="10:10" ht="15.75" customHeight="1" x14ac:dyDescent="0.4">
      <c r="J570" s="234"/>
    </row>
    <row r="571" spans="10:10" ht="15.75" customHeight="1" x14ac:dyDescent="0.4">
      <c r="J571" s="234"/>
    </row>
    <row r="572" spans="10:10" ht="15.75" customHeight="1" x14ac:dyDescent="0.4">
      <c r="J572" s="234"/>
    </row>
    <row r="573" spans="10:10" ht="15.75" customHeight="1" x14ac:dyDescent="0.4">
      <c r="J573" s="234"/>
    </row>
    <row r="574" spans="10:10" ht="15.75" customHeight="1" x14ac:dyDescent="0.4">
      <c r="J574" s="234"/>
    </row>
    <row r="575" spans="10:10" ht="15.75" customHeight="1" x14ac:dyDescent="0.4">
      <c r="J575" s="234"/>
    </row>
    <row r="576" spans="10:10" ht="15.75" customHeight="1" x14ac:dyDescent="0.4">
      <c r="J576" s="234"/>
    </row>
    <row r="577" spans="10:10" ht="15.75" customHeight="1" x14ac:dyDescent="0.4">
      <c r="J577" s="234"/>
    </row>
    <row r="578" spans="10:10" ht="15.75" customHeight="1" x14ac:dyDescent="0.4">
      <c r="J578" s="234"/>
    </row>
    <row r="579" spans="10:10" ht="15.75" customHeight="1" x14ac:dyDescent="0.4">
      <c r="J579" s="234"/>
    </row>
    <row r="580" spans="10:10" ht="15.75" customHeight="1" x14ac:dyDescent="0.4">
      <c r="J580" s="234"/>
    </row>
    <row r="581" spans="10:10" ht="15.75" customHeight="1" x14ac:dyDescent="0.4">
      <c r="J581" s="234"/>
    </row>
    <row r="582" spans="10:10" ht="15.75" customHeight="1" x14ac:dyDescent="0.4">
      <c r="J582" s="234"/>
    </row>
    <row r="583" spans="10:10" ht="15.75" customHeight="1" x14ac:dyDescent="0.4">
      <c r="J583" s="234"/>
    </row>
    <row r="584" spans="10:10" ht="15.75" customHeight="1" x14ac:dyDescent="0.4">
      <c r="J584" s="234"/>
    </row>
    <row r="585" spans="10:10" ht="15.75" customHeight="1" x14ac:dyDescent="0.4">
      <c r="J585" s="234"/>
    </row>
    <row r="586" spans="10:10" ht="15.75" customHeight="1" x14ac:dyDescent="0.4">
      <c r="J586" s="234"/>
    </row>
    <row r="587" spans="10:10" ht="15.75" customHeight="1" x14ac:dyDescent="0.4">
      <c r="J587" s="234"/>
    </row>
    <row r="588" spans="10:10" ht="15.75" customHeight="1" x14ac:dyDescent="0.4">
      <c r="J588" s="234"/>
    </row>
    <row r="589" spans="10:10" ht="15.75" customHeight="1" x14ac:dyDescent="0.4">
      <c r="J589" s="234"/>
    </row>
    <row r="590" spans="10:10" ht="15.75" customHeight="1" x14ac:dyDescent="0.4">
      <c r="J590" s="234"/>
    </row>
    <row r="591" spans="10:10" ht="15.75" customHeight="1" x14ac:dyDescent="0.4">
      <c r="J591" s="234"/>
    </row>
    <row r="592" spans="10:10" ht="15.75" customHeight="1" x14ac:dyDescent="0.4">
      <c r="J592" s="234"/>
    </row>
    <row r="593" spans="10:10" ht="15.75" customHeight="1" x14ac:dyDescent="0.4">
      <c r="J593" s="234"/>
    </row>
    <row r="594" spans="10:10" ht="15.75" customHeight="1" x14ac:dyDescent="0.4">
      <c r="J594" s="234"/>
    </row>
    <row r="595" spans="10:10" ht="15.75" customHeight="1" x14ac:dyDescent="0.4">
      <c r="J595" s="234"/>
    </row>
    <row r="596" spans="10:10" ht="15.75" customHeight="1" x14ac:dyDescent="0.4">
      <c r="J596" s="234"/>
    </row>
    <row r="597" spans="10:10" ht="15.75" customHeight="1" x14ac:dyDescent="0.4">
      <c r="J597" s="234"/>
    </row>
    <row r="598" spans="10:10" ht="15.75" customHeight="1" x14ac:dyDescent="0.4">
      <c r="J598" s="234"/>
    </row>
    <row r="599" spans="10:10" ht="15.75" customHeight="1" x14ac:dyDescent="0.4">
      <c r="J599" s="234"/>
    </row>
    <row r="600" spans="10:10" ht="15.75" customHeight="1" x14ac:dyDescent="0.4">
      <c r="J600" s="234"/>
    </row>
    <row r="601" spans="10:10" ht="15.75" customHeight="1" x14ac:dyDescent="0.4">
      <c r="J601" s="234"/>
    </row>
    <row r="602" spans="10:10" ht="15.75" customHeight="1" x14ac:dyDescent="0.4">
      <c r="J602" s="234"/>
    </row>
    <row r="603" spans="10:10" ht="15.75" customHeight="1" x14ac:dyDescent="0.4">
      <c r="J603" s="234"/>
    </row>
    <row r="604" spans="10:10" ht="15.75" customHeight="1" x14ac:dyDescent="0.4">
      <c r="J604" s="234"/>
    </row>
    <row r="605" spans="10:10" ht="15.75" customHeight="1" x14ac:dyDescent="0.4">
      <c r="J605" s="234"/>
    </row>
    <row r="606" spans="10:10" ht="15.75" customHeight="1" x14ac:dyDescent="0.4">
      <c r="J606" s="234"/>
    </row>
    <row r="607" spans="10:10" ht="15.75" customHeight="1" x14ac:dyDescent="0.4">
      <c r="J607" s="234"/>
    </row>
    <row r="608" spans="10:10" ht="15.75" customHeight="1" x14ac:dyDescent="0.4">
      <c r="J608" s="234"/>
    </row>
    <row r="609" spans="10:10" ht="15.75" customHeight="1" x14ac:dyDescent="0.4">
      <c r="J609" s="234"/>
    </row>
    <row r="610" spans="10:10" ht="15.75" customHeight="1" x14ac:dyDescent="0.4">
      <c r="J610" s="234"/>
    </row>
    <row r="611" spans="10:10" ht="15.75" customHeight="1" x14ac:dyDescent="0.4">
      <c r="J611" s="234"/>
    </row>
    <row r="612" spans="10:10" ht="15.75" customHeight="1" x14ac:dyDescent="0.4">
      <c r="J612" s="234"/>
    </row>
    <row r="613" spans="10:10" ht="15.75" customHeight="1" x14ac:dyDescent="0.4">
      <c r="J613" s="234"/>
    </row>
    <row r="614" spans="10:10" ht="15.75" customHeight="1" x14ac:dyDescent="0.4">
      <c r="J614" s="234"/>
    </row>
    <row r="615" spans="10:10" ht="15.75" customHeight="1" x14ac:dyDescent="0.4">
      <c r="J615" s="234"/>
    </row>
    <row r="616" spans="10:10" ht="15.75" customHeight="1" x14ac:dyDescent="0.4">
      <c r="J616" s="234"/>
    </row>
    <row r="617" spans="10:10" ht="15.75" customHeight="1" x14ac:dyDescent="0.4">
      <c r="J617" s="234"/>
    </row>
    <row r="618" spans="10:10" ht="15.75" customHeight="1" x14ac:dyDescent="0.4">
      <c r="J618" s="234"/>
    </row>
    <row r="619" spans="10:10" ht="15.75" customHeight="1" x14ac:dyDescent="0.4">
      <c r="J619" s="234"/>
    </row>
    <row r="620" spans="10:10" ht="15.75" customHeight="1" x14ac:dyDescent="0.4">
      <c r="J620" s="234"/>
    </row>
    <row r="621" spans="10:10" ht="15.75" customHeight="1" x14ac:dyDescent="0.4">
      <c r="J621" s="234"/>
    </row>
    <row r="622" spans="10:10" ht="15.75" customHeight="1" x14ac:dyDescent="0.4">
      <c r="J622" s="234"/>
    </row>
    <row r="623" spans="10:10" ht="15.75" customHeight="1" x14ac:dyDescent="0.4">
      <c r="J623" s="234"/>
    </row>
    <row r="624" spans="10:10" ht="15.75" customHeight="1" x14ac:dyDescent="0.4">
      <c r="J624" s="234"/>
    </row>
    <row r="625" spans="10:10" ht="15.75" customHeight="1" x14ac:dyDescent="0.4">
      <c r="J625" s="234"/>
    </row>
    <row r="626" spans="10:10" ht="15.75" customHeight="1" x14ac:dyDescent="0.4">
      <c r="J626" s="234"/>
    </row>
    <row r="627" spans="10:10" ht="15.75" customHeight="1" x14ac:dyDescent="0.4">
      <c r="J627" s="234"/>
    </row>
    <row r="628" spans="10:10" ht="15.75" customHeight="1" x14ac:dyDescent="0.4">
      <c r="J628" s="234"/>
    </row>
    <row r="629" spans="10:10" ht="15.75" customHeight="1" x14ac:dyDescent="0.4">
      <c r="J629" s="234"/>
    </row>
    <row r="630" spans="10:10" ht="15.75" customHeight="1" x14ac:dyDescent="0.4">
      <c r="J630" s="234"/>
    </row>
    <row r="631" spans="10:10" ht="15.75" customHeight="1" x14ac:dyDescent="0.4">
      <c r="J631" s="234"/>
    </row>
    <row r="632" spans="10:10" ht="15.75" customHeight="1" x14ac:dyDescent="0.4">
      <c r="J632" s="234"/>
    </row>
    <row r="633" spans="10:10" ht="15.75" customHeight="1" x14ac:dyDescent="0.4">
      <c r="J633" s="234"/>
    </row>
    <row r="634" spans="10:10" ht="15.75" customHeight="1" x14ac:dyDescent="0.4">
      <c r="J634" s="234"/>
    </row>
    <row r="635" spans="10:10" ht="15.75" customHeight="1" x14ac:dyDescent="0.4">
      <c r="J635" s="234"/>
    </row>
    <row r="636" spans="10:10" ht="15.75" customHeight="1" x14ac:dyDescent="0.4">
      <c r="J636" s="234"/>
    </row>
    <row r="637" spans="10:10" ht="15.75" customHeight="1" x14ac:dyDescent="0.4">
      <c r="J637" s="234"/>
    </row>
    <row r="638" spans="10:10" ht="15.75" customHeight="1" x14ac:dyDescent="0.4">
      <c r="J638" s="234"/>
    </row>
    <row r="639" spans="10:10" ht="15.75" customHeight="1" x14ac:dyDescent="0.4">
      <c r="J639" s="234"/>
    </row>
    <row r="640" spans="10:10" ht="15.75" customHeight="1" x14ac:dyDescent="0.4">
      <c r="J640" s="234"/>
    </row>
    <row r="641" spans="10:10" ht="15.75" customHeight="1" x14ac:dyDescent="0.4">
      <c r="J641" s="234"/>
    </row>
    <row r="642" spans="10:10" ht="15.75" customHeight="1" x14ac:dyDescent="0.4">
      <c r="J642" s="234"/>
    </row>
    <row r="643" spans="10:10" ht="15.75" customHeight="1" x14ac:dyDescent="0.4">
      <c r="J643" s="234"/>
    </row>
    <row r="644" spans="10:10" ht="15.75" customHeight="1" x14ac:dyDescent="0.4">
      <c r="J644" s="234"/>
    </row>
    <row r="645" spans="10:10" ht="15.75" customHeight="1" x14ac:dyDescent="0.4">
      <c r="J645" s="234"/>
    </row>
    <row r="646" spans="10:10" ht="15.75" customHeight="1" x14ac:dyDescent="0.4">
      <c r="J646" s="234"/>
    </row>
    <row r="647" spans="10:10" ht="15.75" customHeight="1" x14ac:dyDescent="0.4">
      <c r="J647" s="234"/>
    </row>
    <row r="648" spans="10:10" ht="15.75" customHeight="1" x14ac:dyDescent="0.4">
      <c r="J648" s="234"/>
    </row>
    <row r="649" spans="10:10" ht="15.75" customHeight="1" x14ac:dyDescent="0.4">
      <c r="J649" s="234"/>
    </row>
    <row r="650" spans="10:10" ht="15.75" customHeight="1" x14ac:dyDescent="0.4">
      <c r="J650" s="234"/>
    </row>
    <row r="651" spans="10:10" ht="15.75" customHeight="1" x14ac:dyDescent="0.4">
      <c r="J651" s="234"/>
    </row>
    <row r="652" spans="10:10" ht="15.75" customHeight="1" x14ac:dyDescent="0.4">
      <c r="J652" s="234"/>
    </row>
    <row r="653" spans="10:10" ht="15.75" customHeight="1" x14ac:dyDescent="0.4">
      <c r="J653" s="234"/>
    </row>
    <row r="654" spans="10:10" ht="15.75" customHeight="1" x14ac:dyDescent="0.4">
      <c r="J654" s="234"/>
    </row>
    <row r="655" spans="10:10" ht="15.75" customHeight="1" x14ac:dyDescent="0.4">
      <c r="J655" s="234"/>
    </row>
    <row r="656" spans="10:10" ht="15.75" customHeight="1" x14ac:dyDescent="0.4">
      <c r="J656" s="234"/>
    </row>
    <row r="657" spans="10:10" ht="15.75" customHeight="1" x14ac:dyDescent="0.4">
      <c r="J657" s="234"/>
    </row>
    <row r="658" spans="10:10" ht="15.75" customHeight="1" x14ac:dyDescent="0.4">
      <c r="J658" s="234"/>
    </row>
    <row r="659" spans="10:10" ht="15.75" customHeight="1" x14ac:dyDescent="0.4">
      <c r="J659" s="234"/>
    </row>
    <row r="660" spans="10:10" ht="15.75" customHeight="1" x14ac:dyDescent="0.4">
      <c r="J660" s="234"/>
    </row>
    <row r="661" spans="10:10" ht="15.75" customHeight="1" x14ac:dyDescent="0.4">
      <c r="J661" s="234"/>
    </row>
    <row r="662" spans="10:10" ht="15.75" customHeight="1" x14ac:dyDescent="0.4">
      <c r="J662" s="234"/>
    </row>
    <row r="663" spans="10:10" ht="15.75" customHeight="1" x14ac:dyDescent="0.4">
      <c r="J663" s="234"/>
    </row>
    <row r="664" spans="10:10" ht="15.75" customHeight="1" x14ac:dyDescent="0.4">
      <c r="J664" s="234"/>
    </row>
    <row r="665" spans="10:10" ht="15.75" customHeight="1" x14ac:dyDescent="0.4">
      <c r="J665" s="234"/>
    </row>
    <row r="666" spans="10:10" ht="15.75" customHeight="1" x14ac:dyDescent="0.4">
      <c r="J666" s="234"/>
    </row>
    <row r="667" spans="10:10" ht="15.75" customHeight="1" x14ac:dyDescent="0.4"/>
    <row r="668" spans="10:10" ht="15.75" customHeight="1" x14ac:dyDescent="0.4"/>
    <row r="669" spans="10:10" ht="15.75" customHeight="1" x14ac:dyDescent="0.4"/>
    <row r="670" spans="10:10" ht="15.75" customHeight="1" x14ac:dyDescent="0.4"/>
    <row r="671" spans="10:10" ht="15.75" customHeight="1" x14ac:dyDescent="0.4"/>
    <row r="672" spans="10:10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  <row r="996" ht="15.75" customHeight="1" x14ac:dyDescent="0.4"/>
    <row r="997" ht="15.75" customHeight="1" x14ac:dyDescent="0.4"/>
    <row r="998" ht="15.75" customHeight="1" x14ac:dyDescent="0.4"/>
    <row r="999" ht="15.75" customHeight="1" x14ac:dyDescent="0.4"/>
    <row r="1000" ht="15.75" customHeight="1" x14ac:dyDescent="0.4"/>
  </sheetData>
  <mergeCells count="16">
    <mergeCell ref="B95:C95"/>
    <mergeCell ref="B101:C101"/>
    <mergeCell ref="B109:C109"/>
    <mergeCell ref="B114:D114"/>
    <mergeCell ref="B71:C71"/>
    <mergeCell ref="B78:C78"/>
    <mergeCell ref="B81:C81"/>
    <mergeCell ref="B87:C87"/>
    <mergeCell ref="B92:C92"/>
    <mergeCell ref="B94:D94"/>
    <mergeCell ref="B5:C5"/>
    <mergeCell ref="B14:C14"/>
    <mergeCell ref="B31:C31"/>
    <mergeCell ref="B40:C40"/>
    <mergeCell ref="B51:C51"/>
    <mergeCell ref="B63:C63"/>
  </mergeCells>
  <pageMargins left="0.39370078740157483" right="0.55118110236220474" top="0.47244094488188981" bottom="0.47244094488188981" header="0" footer="0"/>
  <pageSetup paperSize="9" scale="46" orientation="landscape" r:id="rId1"/>
  <colBreaks count="1" manualBreakCount="1">
    <brk id="10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12 เดือน.xlsx]000'!#REF!</xm:f>
          </x14:formula1>
          <xm:sqref>I2:J2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1.1.4</vt:lpstr>
      <vt:lpstr>รายละเอียด 1.1.4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2023-01-06T02:28:32Z</dcterms:created>
  <dcterms:modified xsi:type="dcterms:W3CDTF">2023-01-06T02:28:40Z</dcterms:modified>
</cp:coreProperties>
</file>