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4.3" sheetId="1" r:id="rId1"/>
    <sheet name="รายละเอียด 2.4.3" sheetId="2" r:id="rId2"/>
  </sheets>
  <externalReferences>
    <externalReference r:id="rId3"/>
    <externalReference r:id="rId4"/>
    <externalReference r:id="rId5"/>
    <externalReference r:id="rId6"/>
  </externalReferences>
  <definedNames>
    <definedName name="Journal_ระดับการตีพิมพ์" localSheetId="0">#REF!</definedName>
    <definedName name="Journal_ระดับการตีพิมพ์" localSheetId="1">#REF!</definedName>
    <definedName name="_xlnm.Print_Area" localSheetId="1">'รายละเอียด 2.4.3'!$B$1:$U$125</definedName>
    <definedName name="_xlnm.Print_Titles" localSheetId="1">'รายละเอียด 2.4.3'!$1:$5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โครงการ" localSheetId="0">[3]Name!$A$16:$A$17</definedName>
    <definedName name="โครงการ" localSheetId="1">[3]Name!$A$16:$A$17</definedName>
    <definedName name="โครงการ">[4]Name!$A$16:$A$17</definedName>
    <definedName name="คณะ" localSheetId="0">[3]Name!$A$2:$A$12</definedName>
    <definedName name="คณะ" localSheetId="1">[3]Name!$A$2:$A$12</definedName>
    <definedName name="คณะ">[4]Name!$A$2:$A$12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5" i="2" l="1"/>
  <c r="S135" i="2" s="1"/>
  <c r="T135" i="2" s="1"/>
  <c r="R134" i="2"/>
  <c r="S134" i="2" s="1"/>
  <c r="T134" i="2" s="1"/>
  <c r="S133" i="2"/>
  <c r="T133" i="2" s="1"/>
  <c r="T132" i="2" s="1"/>
  <c r="U132" i="2" s="1"/>
  <c r="R133" i="2"/>
  <c r="O132" i="2"/>
  <c r="Q132" i="2" s="1"/>
  <c r="L132" i="2"/>
  <c r="N132" i="2" s="1"/>
  <c r="O131" i="2"/>
  <c r="R131" i="2" s="1"/>
  <c r="S131" i="2" s="1"/>
  <c r="T131" i="2" s="1"/>
  <c r="L131" i="2"/>
  <c r="O130" i="2"/>
  <c r="R130" i="2" s="1"/>
  <c r="S130" i="2" s="1"/>
  <c r="T130" i="2" s="1"/>
  <c r="L130" i="2"/>
  <c r="O129" i="2"/>
  <c r="R129" i="2" s="1"/>
  <c r="S129" i="2" s="1"/>
  <c r="T129" i="2" s="1"/>
  <c r="L129" i="2"/>
  <c r="O128" i="2"/>
  <c r="L128" i="2"/>
  <c r="R128" i="2" s="1"/>
  <c r="S128" i="2" s="1"/>
  <c r="T128" i="2" s="1"/>
  <c r="O127" i="2"/>
  <c r="L127" i="2"/>
  <c r="R126" i="2"/>
  <c r="S126" i="2" s="1"/>
  <c r="T126" i="2" s="1"/>
  <c r="O126" i="2"/>
  <c r="L126" i="2"/>
  <c r="R125" i="2"/>
  <c r="S125" i="2" s="1"/>
  <c r="T125" i="2" s="1"/>
  <c r="O125" i="2"/>
  <c r="L125" i="2"/>
  <c r="O124" i="2"/>
  <c r="R124" i="2" s="1"/>
  <c r="S124" i="2" s="1"/>
  <c r="T124" i="2" s="1"/>
  <c r="L124" i="2"/>
  <c r="L123" i="2" s="1"/>
  <c r="N123" i="2" s="1"/>
  <c r="R122" i="2"/>
  <c r="S122" i="2" s="1"/>
  <c r="T122" i="2" s="1"/>
  <c r="O122" i="2"/>
  <c r="L122" i="2"/>
  <c r="O121" i="2"/>
  <c r="R121" i="2" s="1"/>
  <c r="S121" i="2" s="1"/>
  <c r="T121" i="2" s="1"/>
  <c r="L121" i="2"/>
  <c r="T120" i="2"/>
  <c r="O120" i="2"/>
  <c r="R120" i="2" s="1"/>
  <c r="S120" i="2" s="1"/>
  <c r="L120" i="2"/>
  <c r="O119" i="2"/>
  <c r="R119" i="2" s="1"/>
  <c r="S119" i="2" s="1"/>
  <c r="T119" i="2" s="1"/>
  <c r="L119" i="2"/>
  <c r="O118" i="2"/>
  <c r="R118" i="2" s="1"/>
  <c r="S118" i="2" s="1"/>
  <c r="T118" i="2" s="1"/>
  <c r="L118" i="2"/>
  <c r="S117" i="2"/>
  <c r="T117" i="2" s="1"/>
  <c r="O117" i="2"/>
  <c r="L117" i="2"/>
  <c r="R117" i="2" s="1"/>
  <c r="O116" i="2"/>
  <c r="O114" i="2" s="1"/>
  <c r="L116" i="2"/>
  <c r="L114" i="2" s="1"/>
  <c r="N114" i="2" s="1"/>
  <c r="R115" i="2"/>
  <c r="S115" i="2" s="1"/>
  <c r="T115" i="2" s="1"/>
  <c r="O115" i="2"/>
  <c r="L115" i="2"/>
  <c r="Q114" i="2"/>
  <c r="O113" i="2"/>
  <c r="R113" i="2" s="1"/>
  <c r="S113" i="2" s="1"/>
  <c r="T113" i="2" s="1"/>
  <c r="L113" i="2"/>
  <c r="R112" i="2"/>
  <c r="S112" i="2" s="1"/>
  <c r="T112" i="2" s="1"/>
  <c r="O112" i="2"/>
  <c r="L112" i="2"/>
  <c r="R111" i="2"/>
  <c r="S111" i="2" s="1"/>
  <c r="T111" i="2" s="1"/>
  <c r="O111" i="2"/>
  <c r="L111" i="2"/>
  <c r="O110" i="2"/>
  <c r="R110" i="2" s="1"/>
  <c r="S110" i="2" s="1"/>
  <c r="T110" i="2" s="1"/>
  <c r="L110" i="2"/>
  <c r="T109" i="2"/>
  <c r="O109" i="2"/>
  <c r="R109" i="2" s="1"/>
  <c r="S109" i="2" s="1"/>
  <c r="L109" i="2"/>
  <c r="O108" i="2"/>
  <c r="L108" i="2"/>
  <c r="O107" i="2"/>
  <c r="R107" i="2" s="1"/>
  <c r="S107" i="2" s="1"/>
  <c r="T107" i="2" s="1"/>
  <c r="L107" i="2"/>
  <c r="O106" i="2"/>
  <c r="L106" i="2"/>
  <c r="R106" i="2" s="1"/>
  <c r="S106" i="2" s="1"/>
  <c r="T106" i="2" s="1"/>
  <c r="O104" i="2"/>
  <c r="R104" i="2" s="1"/>
  <c r="S104" i="2" s="1"/>
  <c r="T104" i="2" s="1"/>
  <c r="L104" i="2"/>
  <c r="S103" i="2"/>
  <c r="T103" i="2" s="1"/>
  <c r="O103" i="2"/>
  <c r="L103" i="2"/>
  <c r="R103" i="2" s="1"/>
  <c r="O102" i="2"/>
  <c r="R102" i="2" s="1"/>
  <c r="S102" i="2" s="1"/>
  <c r="T102" i="2" s="1"/>
  <c r="L102" i="2"/>
  <c r="L96" i="2" s="1"/>
  <c r="N96" i="2" s="1"/>
  <c r="R101" i="2"/>
  <c r="S101" i="2" s="1"/>
  <c r="T101" i="2" s="1"/>
  <c r="O101" i="2"/>
  <c r="L101" i="2"/>
  <c r="R100" i="2"/>
  <c r="S100" i="2" s="1"/>
  <c r="T100" i="2" s="1"/>
  <c r="O100" i="2"/>
  <c r="L100" i="2"/>
  <c r="O99" i="2"/>
  <c r="L99" i="2"/>
  <c r="R99" i="2" s="1"/>
  <c r="S99" i="2" s="1"/>
  <c r="T99" i="2" s="1"/>
  <c r="T98" i="2"/>
  <c r="O98" i="2"/>
  <c r="R98" i="2" s="1"/>
  <c r="S98" i="2" s="1"/>
  <c r="L98" i="2"/>
  <c r="O97" i="2"/>
  <c r="L97" i="2"/>
  <c r="O95" i="2"/>
  <c r="R95" i="2" s="1"/>
  <c r="S95" i="2" s="1"/>
  <c r="T95" i="2" s="1"/>
  <c r="L95" i="2"/>
  <c r="O94" i="2"/>
  <c r="R94" i="2" s="1"/>
  <c r="S94" i="2" s="1"/>
  <c r="T94" i="2" s="1"/>
  <c r="L94" i="2"/>
  <c r="O93" i="2"/>
  <c r="R93" i="2" s="1"/>
  <c r="S93" i="2" s="1"/>
  <c r="T93" i="2" s="1"/>
  <c r="L93" i="2"/>
  <c r="O92" i="2"/>
  <c r="L92" i="2"/>
  <c r="R92" i="2" s="1"/>
  <c r="S92" i="2" s="1"/>
  <c r="T92" i="2" s="1"/>
  <c r="O91" i="2"/>
  <c r="L91" i="2"/>
  <c r="R90" i="2"/>
  <c r="S90" i="2" s="1"/>
  <c r="T90" i="2" s="1"/>
  <c r="O90" i="2"/>
  <c r="L90" i="2"/>
  <c r="R89" i="2"/>
  <c r="S89" i="2" s="1"/>
  <c r="T89" i="2" s="1"/>
  <c r="O89" i="2"/>
  <c r="L89" i="2"/>
  <c r="O88" i="2"/>
  <c r="L88" i="2"/>
  <c r="R88" i="2" s="1"/>
  <c r="S88" i="2" s="1"/>
  <c r="T88" i="2" s="1"/>
  <c r="T86" i="2"/>
  <c r="R86" i="2"/>
  <c r="T85" i="2"/>
  <c r="O85" i="2"/>
  <c r="R85" i="2" s="1"/>
  <c r="S85" i="2" s="1"/>
  <c r="L85" i="2"/>
  <c r="O84" i="2"/>
  <c r="L84" i="2"/>
  <c r="O83" i="2"/>
  <c r="R83" i="2" s="1"/>
  <c r="S83" i="2" s="1"/>
  <c r="T83" i="2" s="1"/>
  <c r="L83" i="2"/>
  <c r="T82" i="2"/>
  <c r="R82" i="2"/>
  <c r="R81" i="2"/>
  <c r="S81" i="2" s="1"/>
  <c r="T81" i="2" s="1"/>
  <c r="O81" i="2"/>
  <c r="L81" i="2"/>
  <c r="R80" i="2"/>
  <c r="S80" i="2" s="1"/>
  <c r="T80" i="2" s="1"/>
  <c r="O80" i="2"/>
  <c r="L80" i="2"/>
  <c r="O79" i="2"/>
  <c r="L79" i="2"/>
  <c r="R79" i="2" s="1"/>
  <c r="S79" i="2" s="1"/>
  <c r="T79" i="2" s="1"/>
  <c r="R77" i="2"/>
  <c r="S77" i="2" s="1"/>
  <c r="T77" i="2" s="1"/>
  <c r="O77" i="2"/>
  <c r="L77" i="2"/>
  <c r="O76" i="2"/>
  <c r="L76" i="2"/>
  <c r="R76" i="2" s="1"/>
  <c r="S76" i="2" s="1"/>
  <c r="T76" i="2" s="1"/>
  <c r="T75" i="2"/>
  <c r="O75" i="2"/>
  <c r="R75" i="2" s="1"/>
  <c r="S75" i="2" s="1"/>
  <c r="L75" i="2"/>
  <c r="O74" i="2"/>
  <c r="R74" i="2" s="1"/>
  <c r="S74" i="2" s="1"/>
  <c r="T74" i="2" s="1"/>
  <c r="L74" i="2"/>
  <c r="O73" i="2"/>
  <c r="R73" i="2" s="1"/>
  <c r="S73" i="2" s="1"/>
  <c r="T73" i="2" s="1"/>
  <c r="L73" i="2"/>
  <c r="O72" i="2"/>
  <c r="L72" i="2"/>
  <c r="R72" i="2" s="1"/>
  <c r="S72" i="2" s="1"/>
  <c r="T72" i="2" s="1"/>
  <c r="O71" i="2"/>
  <c r="L71" i="2"/>
  <c r="L69" i="2" s="1"/>
  <c r="N69" i="2" s="1"/>
  <c r="R70" i="2"/>
  <c r="S70" i="2" s="1"/>
  <c r="T70" i="2" s="1"/>
  <c r="O70" i="2"/>
  <c r="L70" i="2"/>
  <c r="O68" i="2"/>
  <c r="R68" i="2" s="1"/>
  <c r="S68" i="2" s="1"/>
  <c r="T68" i="2" s="1"/>
  <c r="L68" i="2"/>
  <c r="R67" i="2"/>
  <c r="S67" i="2" s="1"/>
  <c r="T67" i="2" s="1"/>
  <c r="O67" i="2"/>
  <c r="L67" i="2"/>
  <c r="R66" i="2"/>
  <c r="S66" i="2" s="1"/>
  <c r="T66" i="2" s="1"/>
  <c r="O66" i="2"/>
  <c r="L66" i="2"/>
  <c r="O65" i="2"/>
  <c r="L65" i="2"/>
  <c r="R65" i="2" s="1"/>
  <c r="S65" i="2" s="1"/>
  <c r="T65" i="2" s="1"/>
  <c r="O64" i="2"/>
  <c r="R64" i="2" s="1"/>
  <c r="S64" i="2" s="1"/>
  <c r="T64" i="2" s="1"/>
  <c r="L64" i="2"/>
  <c r="O63" i="2"/>
  <c r="L63" i="2"/>
  <c r="O62" i="2"/>
  <c r="R62" i="2" s="1"/>
  <c r="S62" i="2" s="1"/>
  <c r="T62" i="2" s="1"/>
  <c r="L62" i="2"/>
  <c r="S61" i="2"/>
  <c r="T61" i="2" s="1"/>
  <c r="O61" i="2"/>
  <c r="L61" i="2"/>
  <c r="R61" i="2" s="1"/>
  <c r="O59" i="2"/>
  <c r="R59" i="2" s="1"/>
  <c r="S59" i="2" s="1"/>
  <c r="T59" i="2" s="1"/>
  <c r="L59" i="2"/>
  <c r="O58" i="2"/>
  <c r="L58" i="2"/>
  <c r="R58" i="2" s="1"/>
  <c r="S58" i="2" s="1"/>
  <c r="T58" i="2" s="1"/>
  <c r="O57" i="2"/>
  <c r="L57" i="2"/>
  <c r="L51" i="2" s="1"/>
  <c r="N51" i="2" s="1"/>
  <c r="R56" i="2"/>
  <c r="S56" i="2" s="1"/>
  <c r="T56" i="2" s="1"/>
  <c r="O56" i="2"/>
  <c r="L56" i="2"/>
  <c r="R55" i="2"/>
  <c r="S55" i="2" s="1"/>
  <c r="T55" i="2" s="1"/>
  <c r="O55" i="2"/>
  <c r="L55" i="2"/>
  <c r="O54" i="2"/>
  <c r="L54" i="2"/>
  <c r="R54" i="2" s="1"/>
  <c r="S54" i="2" s="1"/>
  <c r="T54" i="2" s="1"/>
  <c r="O53" i="2"/>
  <c r="R53" i="2" s="1"/>
  <c r="S53" i="2" s="1"/>
  <c r="T53" i="2" s="1"/>
  <c r="L53" i="2"/>
  <c r="O52" i="2"/>
  <c r="L52" i="2"/>
  <c r="T50" i="2"/>
  <c r="O50" i="2"/>
  <c r="R50" i="2" s="1"/>
  <c r="S50" i="2" s="1"/>
  <c r="L50" i="2"/>
  <c r="O49" i="2"/>
  <c r="R49" i="2" s="1"/>
  <c r="S49" i="2" s="1"/>
  <c r="T49" i="2" s="1"/>
  <c r="L49" i="2"/>
  <c r="O48" i="2"/>
  <c r="R48" i="2" s="1"/>
  <c r="S48" i="2" s="1"/>
  <c r="T48" i="2" s="1"/>
  <c r="L48" i="2"/>
  <c r="S47" i="2"/>
  <c r="T47" i="2" s="1"/>
  <c r="O47" i="2"/>
  <c r="L47" i="2"/>
  <c r="R47" i="2" s="1"/>
  <c r="O46" i="2"/>
  <c r="L46" i="2"/>
  <c r="R45" i="2"/>
  <c r="S45" i="2" s="1"/>
  <c r="T45" i="2" s="1"/>
  <c r="O45" i="2"/>
  <c r="L45" i="2"/>
  <c r="R44" i="2"/>
  <c r="S44" i="2" s="1"/>
  <c r="T44" i="2" s="1"/>
  <c r="O44" i="2"/>
  <c r="L44" i="2"/>
  <c r="O43" i="2"/>
  <c r="L43" i="2"/>
  <c r="T41" i="2"/>
  <c r="R41" i="2"/>
  <c r="T40" i="2"/>
  <c r="S40" i="2"/>
  <c r="R40" i="2"/>
  <c r="R39" i="2"/>
  <c r="S39" i="2" s="1"/>
  <c r="T39" i="2" s="1"/>
  <c r="S38" i="2"/>
  <c r="T38" i="2" s="1"/>
  <c r="R38" i="2"/>
  <c r="R37" i="2"/>
  <c r="S37" i="2" s="1"/>
  <c r="T37" i="2" s="1"/>
  <c r="T36" i="2"/>
  <c r="R36" i="2"/>
  <c r="R35" i="2"/>
  <c r="S35" i="2" s="1"/>
  <c r="T35" i="2" s="1"/>
  <c r="R34" i="2"/>
  <c r="S34" i="2" s="1"/>
  <c r="T34" i="2" s="1"/>
  <c r="O33" i="2"/>
  <c r="Q33" i="2" s="1"/>
  <c r="N33" i="2"/>
  <c r="L33" i="2"/>
  <c r="O32" i="2"/>
  <c r="R32" i="2" s="1"/>
  <c r="S32" i="2" s="1"/>
  <c r="T32" i="2" s="1"/>
  <c r="L32" i="2"/>
  <c r="S31" i="2"/>
  <c r="T31" i="2" s="1"/>
  <c r="R31" i="2"/>
  <c r="O31" i="2"/>
  <c r="L31" i="2"/>
  <c r="O30" i="2"/>
  <c r="L30" i="2"/>
  <c r="R29" i="2"/>
  <c r="S29" i="2" s="1"/>
  <c r="T29" i="2" s="1"/>
  <c r="O29" i="2"/>
  <c r="L29" i="2"/>
  <c r="R28" i="2"/>
  <c r="S28" i="2" s="1"/>
  <c r="T28" i="2" s="1"/>
  <c r="O28" i="2"/>
  <c r="L28" i="2"/>
  <c r="O27" i="2"/>
  <c r="L27" i="2"/>
  <c r="R27" i="2" s="1"/>
  <c r="S27" i="2" s="1"/>
  <c r="T27" i="2" s="1"/>
  <c r="O26" i="2"/>
  <c r="R26" i="2" s="1"/>
  <c r="S26" i="2" s="1"/>
  <c r="T26" i="2" s="1"/>
  <c r="L26" i="2"/>
  <c r="R25" i="2"/>
  <c r="S25" i="2" s="1"/>
  <c r="T25" i="2" s="1"/>
  <c r="O25" i="2"/>
  <c r="O24" i="2" s="1"/>
  <c r="Q24" i="2" s="1"/>
  <c r="L25" i="2"/>
  <c r="T23" i="2"/>
  <c r="O23" i="2"/>
  <c r="R23" i="2" s="1"/>
  <c r="S23" i="2" s="1"/>
  <c r="L23" i="2"/>
  <c r="O22" i="2"/>
  <c r="R22" i="2" s="1"/>
  <c r="S22" i="2" s="1"/>
  <c r="T22" i="2" s="1"/>
  <c r="L22" i="2"/>
  <c r="O21" i="2"/>
  <c r="R21" i="2" s="1"/>
  <c r="S21" i="2" s="1"/>
  <c r="T21" i="2" s="1"/>
  <c r="L21" i="2"/>
  <c r="O20" i="2"/>
  <c r="L20" i="2"/>
  <c r="R20" i="2" s="1"/>
  <c r="S20" i="2" s="1"/>
  <c r="T20" i="2" s="1"/>
  <c r="O19" i="2"/>
  <c r="L19" i="2"/>
  <c r="R18" i="2"/>
  <c r="S18" i="2" s="1"/>
  <c r="T18" i="2" s="1"/>
  <c r="O18" i="2"/>
  <c r="L18" i="2"/>
  <c r="R17" i="2"/>
  <c r="S17" i="2" s="1"/>
  <c r="T17" i="2" s="1"/>
  <c r="O17" i="2"/>
  <c r="L17" i="2"/>
  <c r="O16" i="2"/>
  <c r="L16" i="2"/>
  <c r="S14" i="2"/>
  <c r="T14" i="2" s="1"/>
  <c r="R14" i="2"/>
  <c r="O14" i="2"/>
  <c r="L14" i="2"/>
  <c r="O13" i="2"/>
  <c r="L13" i="2"/>
  <c r="R13" i="2" s="1"/>
  <c r="S13" i="2" s="1"/>
  <c r="T13" i="2" s="1"/>
  <c r="O12" i="2"/>
  <c r="R12" i="2" s="1"/>
  <c r="S12" i="2" s="1"/>
  <c r="T12" i="2" s="1"/>
  <c r="L12" i="2"/>
  <c r="O11" i="2"/>
  <c r="R11" i="2" s="1"/>
  <c r="S11" i="2" s="1"/>
  <c r="T11" i="2" s="1"/>
  <c r="L11" i="2"/>
  <c r="O10" i="2"/>
  <c r="R10" i="2" s="1"/>
  <c r="S10" i="2" s="1"/>
  <c r="T10" i="2" s="1"/>
  <c r="L10" i="2"/>
  <c r="S9" i="2"/>
  <c r="T9" i="2" s="1"/>
  <c r="O9" i="2"/>
  <c r="L9" i="2"/>
  <c r="R9" i="2" s="1"/>
  <c r="O8" i="2"/>
  <c r="L8" i="2"/>
  <c r="L6" i="2" s="1"/>
  <c r="N6" i="2" s="1"/>
  <c r="R7" i="2"/>
  <c r="S7" i="2" s="1"/>
  <c r="T7" i="2" s="1"/>
  <c r="O7" i="2"/>
  <c r="L7" i="2"/>
  <c r="F47" i="1"/>
  <c r="D47" i="1"/>
  <c r="A47" i="1"/>
  <c r="F46" i="1"/>
  <c r="D46" i="1"/>
  <c r="B46" i="1"/>
  <c r="A46" i="1"/>
  <c r="F45" i="1"/>
  <c r="D45" i="1"/>
  <c r="B45" i="1"/>
  <c r="A45" i="1"/>
  <c r="F44" i="1"/>
  <c r="D44" i="1"/>
  <c r="B44" i="1"/>
  <c r="A44" i="1"/>
  <c r="F43" i="1"/>
  <c r="D43" i="1"/>
  <c r="B43" i="1"/>
  <c r="A43" i="1"/>
  <c r="F42" i="1"/>
  <c r="D42" i="1"/>
  <c r="B42" i="1"/>
  <c r="A42" i="1"/>
  <c r="F41" i="1"/>
  <c r="D41" i="1"/>
  <c r="B41" i="1"/>
  <c r="A41" i="1"/>
  <c r="F40" i="1"/>
  <c r="D40" i="1"/>
  <c r="B40" i="1"/>
  <c r="A40" i="1"/>
  <c r="F39" i="1"/>
  <c r="D39" i="1"/>
  <c r="B39" i="1"/>
  <c r="A39" i="1"/>
  <c r="F38" i="1"/>
  <c r="D38" i="1"/>
  <c r="B38" i="1"/>
  <c r="A38" i="1"/>
  <c r="F37" i="1"/>
  <c r="D37" i="1"/>
  <c r="B37" i="1"/>
  <c r="A37" i="1"/>
  <c r="F36" i="1"/>
  <c r="D36" i="1"/>
  <c r="B36" i="1"/>
  <c r="A36" i="1"/>
  <c r="F35" i="1"/>
  <c r="D35" i="1"/>
  <c r="B35" i="1"/>
  <c r="A35" i="1"/>
  <c r="F34" i="1"/>
  <c r="D34" i="1"/>
  <c r="B34" i="1"/>
  <c r="A34" i="1"/>
  <c r="F33" i="1"/>
  <c r="D33" i="1"/>
  <c r="B33" i="1"/>
  <c r="A33" i="1"/>
  <c r="F32" i="1"/>
  <c r="D32" i="1"/>
  <c r="B32" i="1"/>
  <c r="A32" i="1"/>
  <c r="D31" i="1"/>
  <c r="B31" i="1"/>
  <c r="A31" i="1"/>
  <c r="I23" i="1"/>
  <c r="F20" i="1"/>
  <c r="E19" i="1"/>
  <c r="E18" i="1"/>
  <c r="E45" i="1" s="1"/>
  <c r="E17" i="1"/>
  <c r="G17" i="1" s="1"/>
  <c r="E16" i="1"/>
  <c r="E15" i="1"/>
  <c r="E14" i="1"/>
  <c r="E13" i="1"/>
  <c r="G13" i="1" s="1"/>
  <c r="E12" i="1"/>
  <c r="E11" i="1"/>
  <c r="E10" i="1"/>
  <c r="E9" i="1"/>
  <c r="G9" i="1" s="1"/>
  <c r="E8" i="1"/>
  <c r="E7" i="1"/>
  <c r="E6" i="1"/>
  <c r="E5" i="1"/>
  <c r="T105" i="2" l="1"/>
  <c r="U105" i="2" s="1"/>
  <c r="E34" i="1"/>
  <c r="G7" i="1"/>
  <c r="E38" i="1"/>
  <c r="G11" i="1"/>
  <c r="E46" i="1"/>
  <c r="G19" i="1"/>
  <c r="E44" i="1"/>
  <c r="R16" i="2"/>
  <c r="S16" i="2" s="1"/>
  <c r="T16" i="2" s="1"/>
  <c r="L15" i="2"/>
  <c r="N15" i="2" s="1"/>
  <c r="R30" i="2"/>
  <c r="S30" i="2" s="1"/>
  <c r="T30" i="2" s="1"/>
  <c r="O51" i="2"/>
  <c r="Q51" i="2" s="1"/>
  <c r="R52" i="2"/>
  <c r="S52" i="2" s="1"/>
  <c r="T52" i="2" s="1"/>
  <c r="E20" i="1"/>
  <c r="G5" i="1"/>
  <c r="E42" i="1"/>
  <c r="G15" i="1"/>
  <c r="E40" i="1"/>
  <c r="G8" i="1"/>
  <c r="E35" i="1"/>
  <c r="G12" i="1"/>
  <c r="E39" i="1"/>
  <c r="G16" i="1"/>
  <c r="E43" i="1"/>
  <c r="L24" i="2"/>
  <c r="N24" i="2" s="1"/>
  <c r="R97" i="2"/>
  <c r="S97" i="2" s="1"/>
  <c r="T97" i="2" s="1"/>
  <c r="T96" i="2" s="1"/>
  <c r="U96" i="2" s="1"/>
  <c r="O96" i="2"/>
  <c r="Q96" i="2" s="1"/>
  <c r="R108" i="2"/>
  <c r="S108" i="2" s="1"/>
  <c r="T108" i="2" s="1"/>
  <c r="O105" i="2"/>
  <c r="Q105" i="2" s="1"/>
  <c r="H13" i="1"/>
  <c r="I13" i="1" s="1"/>
  <c r="G40" i="1"/>
  <c r="O15" i="2"/>
  <c r="Q15" i="2" s="1"/>
  <c r="R19" i="2"/>
  <c r="S19" i="2" s="1"/>
  <c r="T19" i="2" s="1"/>
  <c r="L42" i="2"/>
  <c r="N42" i="2" s="1"/>
  <c r="R43" i="2"/>
  <c r="S43" i="2" s="1"/>
  <c r="T43" i="2" s="1"/>
  <c r="R63" i="2"/>
  <c r="S63" i="2" s="1"/>
  <c r="T63" i="2" s="1"/>
  <c r="O60" i="2"/>
  <c r="Q60" i="2" s="1"/>
  <c r="T87" i="2"/>
  <c r="U87" i="2" s="1"/>
  <c r="T114" i="2"/>
  <c r="U114" i="2" s="1"/>
  <c r="G44" i="1"/>
  <c r="H17" i="1"/>
  <c r="I17" i="1" s="1"/>
  <c r="E32" i="1"/>
  <c r="E37" i="1"/>
  <c r="G10" i="1"/>
  <c r="T33" i="2"/>
  <c r="U33" i="2" s="1"/>
  <c r="T69" i="2"/>
  <c r="U69" i="2" s="1"/>
  <c r="O78" i="2"/>
  <c r="Q78" i="2" s="1"/>
  <c r="R84" i="2"/>
  <c r="S84" i="2" s="1"/>
  <c r="T84" i="2" s="1"/>
  <c r="O87" i="2"/>
  <c r="Q87" i="2" s="1"/>
  <c r="T24" i="2"/>
  <c r="U24" i="2" s="1"/>
  <c r="E41" i="1"/>
  <c r="G14" i="1"/>
  <c r="G36" i="1"/>
  <c r="H9" i="1"/>
  <c r="I9" i="1" s="1"/>
  <c r="E33" i="1"/>
  <c r="G6" i="1"/>
  <c r="E36" i="1"/>
  <c r="O6" i="2"/>
  <c r="Q6" i="2" s="1"/>
  <c r="R8" i="2"/>
  <c r="S8" i="2" s="1"/>
  <c r="T8" i="2" s="1"/>
  <c r="T6" i="2" s="1"/>
  <c r="U6" i="2" s="1"/>
  <c r="O42" i="2"/>
  <c r="Q42" i="2" s="1"/>
  <c r="R46" i="2"/>
  <c r="S46" i="2" s="1"/>
  <c r="T46" i="2" s="1"/>
  <c r="R57" i="2"/>
  <c r="S57" i="2" s="1"/>
  <c r="T57" i="2" s="1"/>
  <c r="O69" i="2"/>
  <c r="Q69" i="2" s="1"/>
  <c r="T60" i="2"/>
  <c r="U60" i="2" s="1"/>
  <c r="T78" i="2"/>
  <c r="U78" i="2" s="1"/>
  <c r="O123" i="2"/>
  <c r="Q123" i="2" s="1"/>
  <c r="R71" i="2"/>
  <c r="S71" i="2" s="1"/>
  <c r="T71" i="2" s="1"/>
  <c r="R91" i="2"/>
  <c r="S91" i="2" s="1"/>
  <c r="T91" i="2" s="1"/>
  <c r="R116" i="2"/>
  <c r="S116" i="2" s="1"/>
  <c r="T116" i="2" s="1"/>
  <c r="R127" i="2"/>
  <c r="S127" i="2" s="1"/>
  <c r="T127" i="2" s="1"/>
  <c r="T123" i="2" s="1"/>
  <c r="U123" i="2" s="1"/>
  <c r="L78" i="2"/>
  <c r="N78" i="2" s="1"/>
  <c r="L87" i="2"/>
  <c r="N87" i="2" s="1"/>
  <c r="G18" i="1"/>
  <c r="L60" i="2"/>
  <c r="N60" i="2" s="1"/>
  <c r="L105" i="2"/>
  <c r="N105" i="2" s="1"/>
  <c r="T51" i="2" l="1"/>
  <c r="U51" i="2" s="1"/>
  <c r="G38" i="1"/>
  <c r="H11" i="1"/>
  <c r="I11" i="1" s="1"/>
  <c r="G32" i="1"/>
  <c r="H5" i="1"/>
  <c r="I5" i="1" s="1"/>
  <c r="E47" i="1"/>
  <c r="G20" i="1"/>
  <c r="G39" i="1"/>
  <c r="H12" i="1"/>
  <c r="I12" i="1" s="1"/>
  <c r="G41" i="1"/>
  <c r="H14" i="1"/>
  <c r="I14" i="1" s="1"/>
  <c r="H10" i="1"/>
  <c r="I10" i="1" s="1"/>
  <c r="G37" i="1"/>
  <c r="G46" i="1"/>
  <c r="H19" i="1"/>
  <c r="I19" i="1" s="1"/>
  <c r="T42" i="2"/>
  <c r="U42" i="2" s="1"/>
  <c r="G35" i="1"/>
  <c r="H8" i="1"/>
  <c r="I8" i="1" s="1"/>
  <c r="G34" i="1"/>
  <c r="H7" i="1"/>
  <c r="I7" i="1" s="1"/>
  <c r="G43" i="1"/>
  <c r="H16" i="1"/>
  <c r="I16" i="1" s="1"/>
  <c r="G45" i="1"/>
  <c r="H18" i="1"/>
  <c r="I18" i="1" s="1"/>
  <c r="G42" i="1"/>
  <c r="H15" i="1"/>
  <c r="I15" i="1" s="1"/>
  <c r="T15" i="2"/>
  <c r="U15" i="2" s="1"/>
  <c r="H6" i="1"/>
  <c r="I6" i="1" s="1"/>
  <c r="G33" i="1"/>
  <c r="G47" i="1" l="1"/>
  <c r="H20" i="1"/>
  <c r="I20" i="1" s="1"/>
</calcChain>
</file>

<file path=xl/sharedStrings.xml><?xml version="1.0" encoding="utf-8"?>
<sst xmlns="http://schemas.openxmlformats.org/spreadsheetml/2006/main" count="840" uniqueCount="532">
  <si>
    <t xml:space="preserve">ตัวชี้วัด </t>
  </si>
  <si>
    <t>2.4.3 ร้อยละของครัวเรือนที่เข้าร่วมโครงการ พ้นเกณฑ์ความยากจนและ/หรือ  ยกระดับรายได้ครัวเรือน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</si>
  <si>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</si>
  <si>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</si>
  <si>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</si>
  <si>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</si>
  <si>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</si>
  <si>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</si>
  <si>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</si>
  <si>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</si>
  <si>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</si>
  <si>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</si>
  <si>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</si>
  <si>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จำนวนครัวเรือนที่เข้าร่วมโครงการและมีรายได้เพิ่มขึ้นจากเดิม </t>
    </r>
    <r>
      <rPr>
        <b/>
        <sz val="18"/>
        <color rgb="FFFF0000"/>
        <rFont val="TH SarabunPSK"/>
        <family val="2"/>
      </rPr>
      <t>ไม่น้อยกว่าร้อยละ 40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(1)</t>
    </r>
  </si>
  <si>
    <r>
      <t xml:space="preserve">จำนวนครัวเรือนที่เข้าร่วมโครงการ </t>
    </r>
    <r>
      <rPr>
        <b/>
        <sz val="18"/>
        <color rgb="FFFF0000"/>
        <rFont val="TH SarabunPSK"/>
        <family val="2"/>
      </rPr>
      <t>(2)</t>
    </r>
  </si>
  <si>
    <r>
      <t xml:space="preserve">ร้อยละของครัวเรือนที่เข้าร่วมโครงการ พ้นเกณฑ์ความยากจนและ/หรือ  ยกระดับรายได้ครัวเรือน </t>
    </r>
    <r>
      <rPr>
        <b/>
        <sz val="18"/>
        <color rgb="FFFF0000"/>
        <rFont val="TH SarabunPSK"/>
        <family val="2"/>
      </rPr>
      <t>=(1)*100/(2)</t>
    </r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</si>
  <si>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</si>
  <si>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</si>
  <si>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</si>
  <si>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</si>
  <si>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2) คณะวิทยาศาสตร์และเทคโนโลยี</t>
  </si>
  <si>
    <t>≥ 60.00</t>
  </si>
  <si>
    <t>ยืนยันข้อมูลตามหน่วยงานเจ้าภาพ</t>
  </si>
  <si>
    <t>ช่วงปรับเกณฑ์การให้คะแนน</t>
  </si>
  <si>
    <t>3) คณะมนุษยศาสตร์และสังคมศาสตร์</t>
  </si>
  <si>
    <t>ยืนยันข้อมูลตรงกัน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</si>
  <si>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</si>
  <si>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</si>
  <si>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</si>
  <si>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</si>
  <si>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</si>
  <si>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</si>
  <si>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</si>
  <si>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</si>
  <si>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 บัณฑิตวิทยาลัย</t>
  </si>
  <si>
    <t>8) วิทยาลัยนวัตกรรมและการจัดการ</t>
  </si>
  <si>
    <t>หน่วยงานเจ้าภาพมีผลการดำเนินงานมากกว่า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</si>
  <si>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</si>
  <si>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</si>
  <si>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</si>
  <si>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</si>
  <si>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วิทยาลัยการเมืองการปกครอง</t>
  </si>
  <si>
    <t>14) วิทยาลัยการจัดการอุตสาหกรรมบริการ</t>
  </si>
  <si>
    <t>14) วิทยาลัยนิเทศศาสตร์</t>
  </si>
  <si>
    <t>20) สถาบันวิจัยและพัฒนา</t>
  </si>
  <si>
    <t>-</t>
  </si>
  <si>
    <t>รวม</t>
  </si>
  <si>
    <t>ตัวชี้วัดระดับเจ้าภาพ</t>
  </si>
  <si>
    <t>2.4.3 (S)  ระดับความสำเร็จของการดำเนินการตามแนวทางตามตัวชี้วัดร้อยละของครัวเรือนที่เข้าร่วมโครงการ พ้นเกณฑ์ความยากจนและ/หรือ  ยกระดับรายได้ครัวเรือน</t>
  </si>
  <si>
    <t>คะแนน</t>
  </si>
  <si>
    <t>จำนวนครัวเรือนที่เข้าร่วมโครงการ
และมีรายได้เพิ่มขึ้นจากเดิม 
ไม่น้อยกว่าร้อยละ 40</t>
  </si>
  <si>
    <t>จำนวนครัวเรือน
ที่เข้าร่วมโครงการ</t>
  </si>
  <si>
    <t>คิดเป็นร้อยละ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</si>
  <si>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</si>
  <si>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</si>
  <si>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</si>
  <si>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</si>
  <si>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</si>
  <si>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</si>
  <si>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</si>
  <si>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</si>
  <si>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</si>
  <si>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</si>
  <si>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</si>
  <si>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</si>
  <si>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</si>
  <si>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</si>
  <si>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วิจัย</t>
  </si>
  <si>
    <t>มหาวิทยาลัย</t>
  </si>
  <si>
    <t xml:space="preserve">2.4.3 ร้อยละของครัวเรือนที่เข้าร่วมโครงการ พ้นเกณฑ์ความยากจนและ/หรือ  ยกระดับรายได้ครัวเรือน
</t>
  </si>
  <si>
    <t>ผลการดำเนินงานประจำรอบ</t>
  </si>
  <si>
    <t>โทร.1342</t>
  </si>
  <si>
    <t>ชื่อครัวเรือน</t>
  </si>
  <si>
    <t>เขตพื้นที่/ที่อยู่</t>
  </si>
  <si>
    <t>ประเด็นให้ความรู้ และร่วมพัฒนาแก้ไขเพื่อพัฒนาคุณภาพชีวิตและยกระดับรายได้ครัวเรือน</t>
  </si>
  <si>
    <t>วันที่/เดือน/ปีที่เข้าร่วมกิจกรรม</t>
  </si>
  <si>
    <t>สถานที่ดำเนินการ</t>
  </si>
  <si>
    <t>รายละเอียดการมีอาชีพที่ก่อให้เกิดรายได้และมีค่านิยมทางสังคมที่ดีขึ้น</t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</si>
  <si>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ก่อน</t>
    </r>
    <r>
      <rPr>
        <b/>
        <u/>
        <sz val="15"/>
        <color rgb="FFFF0000"/>
        <rFont val="TH SarabunPSK"/>
        <family val="2"/>
      </rPr>
      <t>เข้าร่วมโครงการ (1)</t>
    </r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</si>
  <si>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หลัง</t>
    </r>
    <r>
      <rPr>
        <b/>
        <u/>
        <sz val="15"/>
        <color rgb="FFFF0000"/>
        <rFont val="TH SarabunPSK"/>
        <family val="2"/>
      </rPr>
      <t>เข้าร่วมโครงการ (2)</t>
    </r>
  </si>
  <si>
    <r>
      <t>รายได้เฉลี่ยของครัวเรือนที่</t>
    </r>
    <r>
      <rPr>
        <b/>
        <u/>
        <sz val="15"/>
        <color theme="1"/>
        <rFont val="TH SarabunPSK"/>
        <family val="2"/>
      </rPr>
      <t>เพิ่มขึ้น</t>
    </r>
    <r>
      <rPr>
        <b/>
        <sz val="15"/>
        <color theme="1"/>
        <rFont val="TH SarabunPSK"/>
        <family val="2"/>
      </rPr>
      <t xml:space="preserve">หลังจากเข้าร่วมโครงการ </t>
    </r>
    <r>
      <rPr>
        <b/>
        <sz val="15"/>
        <color rgb="FFFF0000"/>
        <rFont val="TH SarabunPSK"/>
        <family val="2"/>
      </rPr>
      <t>(3)=(2)-(1)</t>
    </r>
  </si>
  <si>
    <r>
      <t xml:space="preserve">ร้อยละของรายได้ของครัวเรือนที่เข้าร่วมโครงการเพิ่มขึ้น </t>
    </r>
    <r>
      <rPr>
        <b/>
        <sz val="15"/>
        <color rgb="FFFF0000"/>
        <rFont val="TH SarabunPSK"/>
        <family val="2"/>
      </rPr>
      <t>40% (4) = (3)/(1)*100</t>
    </r>
  </si>
  <si>
    <r>
      <t xml:space="preserve">จำนวนครัวเรือนที่มีรายได้เพิ่มขึ้นไม่น้อยกว่า
ร้อยละ 40%
</t>
    </r>
    <r>
      <rPr>
        <b/>
        <sz val="15"/>
        <color rgb="FFFF0000"/>
        <rFont val="TH SarabunPSK"/>
        <family val="2"/>
      </rPr>
      <t>(เป้าหมายไม่น้อยกว่า
ร้อยละ 60%)</t>
    </r>
  </si>
  <si>
    <t>1) มีทัศนคติที่ถูกต้องต่อบ้านเมือง</t>
  </si>
  <si>
    <t>2) มีพื้นฐานชีวิตที่มั่นคง-มีคุณธรรม</t>
  </si>
  <si>
    <t>3) มีงานทำ - มีอาชีพ</t>
  </si>
  <si>
    <t>4) เป็นพลเมืองที่ดี</t>
  </si>
  <si>
    <r>
      <t>ผลรวมรายได้ของ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</si>
  <si>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r>
      <t>จำนวน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</si>
  <si>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t>เฉลี่ย</t>
  </si>
  <si>
    <t>1. คณะวิทยาศาสตร์และเทคโนโลยี</t>
  </si>
  <si>
    <t>นางศิริวัฒนา</t>
  </si>
  <si>
    <t>โพดพลัด</t>
  </si>
  <si>
    <t xml:space="preserve">เลขที่ 5 หมู่ที่ 2 ต.บางแค อ.อัมพวา จ.สมุทรสงคราม
</t>
  </si>
  <si>
    <t>1 ตุลาคม 2564 
ถึง 30 กันยายน 2565</t>
  </si>
  <si>
    <t>อบต.บางแค อ.อัมพวา จ.สมุทรสงคราม</t>
  </si>
  <si>
    <t>ร้านขายกาแฟโบราณ ขนมปัง / เบเกอรี่</t>
  </si>
  <si>
    <t>นายภัควัฒน์</t>
  </si>
  <si>
    <t>จีระประสาธน์</t>
  </si>
  <si>
    <t>เลขที่ 102/4 หมู่ที่ 1 ต.แพรกหนามแดง อ.อัมพวา จ.สมุทรสงคราม</t>
  </si>
  <si>
    <t>อบต.แพรกหนามแดง อ.อัมพวา จ.สมุทรสงคราม</t>
  </si>
  <si>
    <t>ถ่านกัมมันถ์ จากกะลามะพร้าว</t>
  </si>
  <si>
    <t>นางสาวจุฑาทิพย์</t>
  </si>
  <si>
    <t>สุวรรณเวช</t>
  </si>
  <si>
    <t xml:space="preserve">เลขที่ 31 หมู่ที่ 5 ต.บางคนที อ.บางคนที จ.สมุทรสงคราม
</t>
  </si>
  <si>
    <t>อบต.บางคนที อ.บางคนที จ.สมุทรสงคราม</t>
  </si>
  <si>
    <t>ร้านขายขนมใส่ไส้</t>
  </si>
  <si>
    <t>นางชญานุช</t>
  </si>
  <si>
    <t>วิมลประดิษฐ์</t>
  </si>
  <si>
    <t>เลขที่ 35 หมู่ที่ 9 ต.บางคนที อ.บางคนที จ.สมุทรสงคราม</t>
  </si>
  <si>
    <t>แปรรูปผลิตภัณฑ์จากเห็ด</t>
  </si>
  <si>
    <t>นางฐานิดา</t>
  </si>
  <si>
    <t>สีเหลือง</t>
  </si>
  <si>
    <t>เลขที่ 1 หมู่ที่ 2 ต.ท่าคา อ.อัมพวา จ.สมุทรสงคราม</t>
  </si>
  <si>
    <t>อบต.ท่าคา อ.อัมพวา จ.สมุทรสงคราม</t>
  </si>
  <si>
    <t>ผลิตภัณฑ์แปรรูปจากน้ำตาลมะพร้าว</t>
  </si>
  <si>
    <t>นางจรินทร์</t>
  </si>
  <si>
    <t>ทรงแสง</t>
  </si>
  <si>
    <t>เลขที่ 24 หมู่ที่ 4 ต.ยายแพง อ.บางคนที จ.สมุทรสงคราม</t>
  </si>
  <si>
    <t>อบต.ยายแพง อ.บางคนที จ.สมุทรสงคราม</t>
  </si>
  <si>
    <t>ร้านขนมไทย</t>
  </si>
  <si>
    <t>นางสุวรรณา</t>
  </si>
  <si>
    <t>ลิ้มเล็ก</t>
  </si>
  <si>
    <t>เลขที่ 8 หมู่ที่ 6 ต.ดอนมะโนรา อ.บางคนที จ.สมุทรสงคราม</t>
  </si>
  <si>
    <t>อบต.ดอนมะโนรา อ.บางคนที จ.สมุทรสงคราม</t>
  </si>
  <si>
    <t>ร้านแดงน้อย (ขนมไทยโบราณ) ขนมฝอยทอง/ขนมหม้อแกง</t>
  </si>
  <si>
    <t>นายสมหมาย</t>
  </si>
  <si>
    <t>สมปรุง</t>
  </si>
  <si>
    <t>เลขที่ 19/2 หมู่ที่ 2 ต.คลองโคน อ.เมืองสมุทรสงคราม จ.สมุทรสงคราม</t>
  </si>
  <si>
    <t>อบต.คลองโคน อ.เมืองสมุทรสงคราม จ.สมุทรสงคราม</t>
  </si>
  <si>
    <t>ผลิตภัณฑ์กะปิ คลองโคน</t>
  </si>
  <si>
    <t>2. คณะมนุษยศาสตร์และสังคมศาสตร์</t>
  </si>
  <si>
    <t>นางวรรณา</t>
  </si>
  <si>
    <t>อ่ำสกุล</t>
  </si>
  <si>
    <t>115 บ้านคลองบางแค ม.4 อ.บางนางลี่ อ.อัมพวา จ.สมุทรสงคราม</t>
  </si>
  <si>
    <t>บ้านคลองบางแค ต.บางนางลี่ อ.อัมพวา จ.สมุทรสงคราม</t>
  </si>
  <si>
    <t>เห็ดนางฟ้าภูฐาน/ผลิตภัณฑ์แปรรูปจากเห็ด</t>
  </si>
  <si>
    <t>นางบัวไข</t>
  </si>
  <si>
    <t>วงศ์ผู้ดี</t>
  </si>
  <si>
    <t>2/6 บ้านคลองบางแค ม.4 อ.บางนางลี่ อ.อัมพวา จ.สมุทรสงคราม</t>
  </si>
  <si>
    <t>นางสาวพิสมัย</t>
  </si>
  <si>
    <t>บัวอุดมเจริญ</t>
  </si>
  <si>
    <t>18 บ้านคลองบางแค ม.4 อ.บางนางลี่ อ.อัมพวา จ.สมุทรสงคราม</t>
  </si>
  <si>
    <t>นางสาวมัณฑนา</t>
  </si>
  <si>
    <t>ศรีอำคำ</t>
  </si>
  <si>
    <t>59 บ้านคลองบางแค ม.4 อ.บางนางลี่ อ.อัมพวา จ.สมุทรสงคราม</t>
  </si>
  <si>
    <t>นายประภัสสร</t>
  </si>
  <si>
    <t>ปั้นสกุล</t>
  </si>
  <si>
    <t>35/1บ้านคลองบางแค ม.4 อ.บางนางลี่ อ.อัมพวา จ.สมุทรสงคราม</t>
  </si>
  <si>
    <t>นางรุ่งทิพย์</t>
  </si>
  <si>
    <t>โตวัฒนา</t>
  </si>
  <si>
    <t>108 บ้านคลองบางแค ม.4 อ.บางนางลี่ อ.อัมพวา จ.สมุทรสงคราม</t>
  </si>
  <si>
    <t>นางสราลี</t>
  </si>
  <si>
    <t>ม่วงไทย</t>
  </si>
  <si>
    <t>29 บ้านคลองบางแค ม.4 อ.บางนางลี่ อ.อัมพวา จ.สมุทรสงคราม</t>
  </si>
  <si>
    <t>นางวิภา</t>
  </si>
  <si>
    <t>ทองคำ</t>
  </si>
  <si>
    <t>14 บ้านคลองบางแค ม.4 อ.บางนางลี่ อ.อัมพวา จ.สมุทรสงคราม</t>
  </si>
  <si>
    <t>3. คณะวิทยาการจัดการ</t>
  </si>
  <si>
    <t>น.ส.พยอม</t>
  </si>
  <si>
    <t>ทองคงหาญ</t>
  </si>
  <si>
    <t>34 ซ.ต้นโพธิ์ ถ.พิชัย ต.นครไชยศรี อ.ดุสิต กทม.</t>
  </si>
  <si>
    <t>ชุมชนตรอกต้นโพธิ์ เขตดุสิต</t>
  </si>
  <si>
    <t>ไส้กรอกอีสาน แหนม</t>
  </si>
  <si>
    <t>นางศิริพร</t>
  </si>
  <si>
    <t>สุวรรณ</t>
  </si>
  <si>
    <t>1116/5 หมู่ 1 ถ.นครไชยศรี ต.นครไชยศรี อ.ดุสิต กทม.</t>
  </si>
  <si>
    <t>อาหาร</t>
  </si>
  <si>
    <t>น.ส.สุพิชญา</t>
  </si>
  <si>
    <t>แชะรัมย์</t>
  </si>
  <si>
    <t>1/3/1138 ถ.นครไชยศรี ต.นครไชยศรี อ.ดุสิต กทม.</t>
  </si>
  <si>
    <t>สิ่งประดิษฐ์/งานฝีมือ</t>
  </si>
  <si>
    <t>น.ส.พรรณทิพย์</t>
  </si>
  <si>
    <t>ทองโต</t>
  </si>
  <si>
    <t>34/1 ถ.นครไชยศรี ต.นครไชยศรี อ.ดุสิต กทม.</t>
  </si>
  <si>
    <t>นางไพลิน</t>
  </si>
  <si>
    <t>อภิชาติโยธิน</t>
  </si>
  <si>
    <t>106 ซ.ต้นโพธิ์ แยกพิชัย ถ.นครไชยศรี ต.นครไชยศรี อ.ดุสิต กทม.</t>
  </si>
  <si>
    <t>ทำขนม/เบเกอรี่</t>
  </si>
  <si>
    <t>นางลัดดา</t>
  </si>
  <si>
    <t>ชูรัตน์</t>
  </si>
  <si>
    <t>1148/17 ถ.นครไชยศรี ต.นครไชยศรี อ.ดุสิต กทม.</t>
  </si>
  <si>
    <t>เย็บผ้า</t>
  </si>
  <si>
    <t>นางอัจฉรา</t>
  </si>
  <si>
    <t>ภักดีเพี้ยน</t>
  </si>
  <si>
    <t>1140/18 ถ.พิชัย แขวงนครไชยศรี อ.ดุสิต กทม.</t>
  </si>
  <si>
    <t>อาหาร/ขนมไทย</t>
  </si>
  <si>
    <t>น.ส.สุดารัตน์</t>
  </si>
  <si>
    <t>ติคำ</t>
  </si>
  <si>
    <t>1/6/1136 ถ.นครไชยศรี ต.นครไชยศรี อ.ดุสิต กทม.</t>
  </si>
  <si>
    <t>งานฝีมือ</t>
  </si>
  <si>
    <t>4. คณะเทคโนโลยีอุตสาหกรรม</t>
  </si>
  <si>
    <t>นายสัญชัย</t>
  </si>
  <si>
    <t>กุมสุระ</t>
  </si>
  <si>
    <t>108/2 ม.3 ต.คลองโยง อ.พุทธมนฑล จ.นครปฐม 73170</t>
  </si>
  <si>
    <t>ชุมชนคลองโยง อ.พุทธมณฑล จ.นครปฐม</t>
  </si>
  <si>
    <t>งานประดิษฐ์จากกระดาษเป็นเครื่องประดับ
งานประดิษฐ์จากขวดพลาสติกเป็นเครื่องประดับ</t>
  </si>
  <si>
    <t>นางสุมน</t>
  </si>
  <si>
    <t>111 ม.3 ต.คลองโยง อ.พุทธมนฑล จ.นครปฐม 73170</t>
  </si>
  <si>
    <t>งานประดิษฐ์จากถุงพลาสติกย่อยสลายได้เป็นเครื่องใช้</t>
  </si>
  <si>
    <t>นางสุนี</t>
  </si>
  <si>
    <t>28 ม.4 ต.คลองโยง อ.พุทธมณฑล จ.นครปฐม 73170</t>
  </si>
  <si>
    <t>งานประดิษฐ์ดอกไม้จากกระดาษล็อตตารี่เป็นชุดกระถางบัวบูชา</t>
  </si>
  <si>
    <t>นางสาวพรทิพย์ภา</t>
  </si>
  <si>
    <t>รักษ์พันธ์</t>
  </si>
  <si>
    <t>43 ม.4 ต.คลองโยง อ.พุทธมนฑล จ.นครปฐม 73170</t>
  </si>
  <si>
    <t xml:space="preserve">งานประดิษฐ์จากกระดาษเป็นเครื่องประดับ
งานประดิษฐ์ดอกไม้จากโฟมห่อผลไม้ </t>
  </si>
  <si>
    <t>นางสาวสมศรี</t>
  </si>
  <si>
    <t>ปองสุข</t>
  </si>
  <si>
    <t>รพ.สต.คลองโยง 2</t>
  </si>
  <si>
    <t>สิ่งประดิษฐ์ของที่ระลึกจากถุงน้ำยาปรับผ้านุ่ม</t>
  </si>
  <si>
    <t>นางพรทิพย์</t>
  </si>
  <si>
    <t>โภคมณี</t>
  </si>
  <si>
    <t>40/4 ม. 4  ต.คลองโยง อ.พุทธมณฑล จ.นครปฐม 73170</t>
  </si>
  <si>
    <t>งานประดิษฐ์จากถุงพลาสติกย่อยสลายได้เป็นกระเป๋าถือ</t>
  </si>
  <si>
    <t>นางศิริเพ็ญ</t>
  </si>
  <si>
    <t>จันทร์หอม</t>
  </si>
  <si>
    <t>2/2 ม.3 ต.คลองโยง อ.พุทธมนฑล จ.นครปฐม 73170</t>
  </si>
  <si>
    <t xml:space="preserve">งานประดิษฐ์จากดอกไม้น้ำยาปรับผ้านุ่มเป็นของที่ระลึก
งานประดิษฐ์จากกระดาษล็อตตารี่เป็นดอกไม้ตกแต่ง </t>
  </si>
  <si>
    <t>นางสาวจีระนันท์</t>
  </si>
  <si>
    <t>นัดสูงวงษ์</t>
  </si>
  <si>
    <t>งานประดิษฐ์จากกระดาษล็อตตารี่เป็นดอกไม้ทำของที่ระลึก</t>
  </si>
  <si>
    <t>5. คณะศิลปกรรมศาสตร์</t>
  </si>
  <si>
    <t>นางฉวี</t>
  </si>
  <si>
    <t>นวลป้อง</t>
  </si>
  <si>
    <t>36 หมู่บ้านคีรีวงกต หมู่ที่ 8 ต.นาแค อ.นายูง จ.อุดรธานี</t>
  </si>
  <si>
    <t>หมู่บ้านคีรีวงกต ต.นาแคอ.นายูง จ.อุดรธานี</t>
  </si>
  <si>
    <t>ทำเกษตรปลูกข้าว ยางพารา มันสำปะหลัง</t>
  </si>
  <si>
    <t>นางจันที</t>
  </si>
  <si>
    <t>อัดเสริญ</t>
  </si>
  <si>
    <t>105 หมู่บ้านคีรีวงกต หมู่ที่ 8 ต.นาแค อ.นายูง จ.อุดรธานี</t>
  </si>
  <si>
    <t>รับจ้างอิสระ</t>
  </si>
  <si>
    <t>นางแปง</t>
  </si>
  <si>
    <t>ซ้อนจันทร์ดี</t>
  </si>
  <si>
    <t>24 หมู่บ้านคีรีวงกต หมู่ที่ 4 ต.นาแค อ.นายูง จ.อุดรธานี</t>
  </si>
  <si>
    <t>ทำเกษตรปลูกข้าว ยางพารา</t>
  </si>
  <si>
    <t>น.ส.บัวเลียน</t>
  </si>
  <si>
    <t>จันทร์ศรีอ่อน</t>
  </si>
  <si>
    <t>21 หมู่บ้านคีรีวงกต หมู่ที่ 4 ต.นาแค อ.นายูง จ.อุดรธานี</t>
  </si>
  <si>
    <t>น.ส.สุภาพร</t>
  </si>
  <si>
    <t>พรมแสวง</t>
  </si>
  <si>
    <t>5 หมู่บ้านคีรีวงกต หมู่ที่ 8 ต.นาแค อ.นายูง จ.อุดรธานี</t>
  </si>
  <si>
    <t>ทำเกษตรปลูกข้าว</t>
  </si>
  <si>
    <t>นางธัญจิรา</t>
  </si>
  <si>
    <t>ศรีโบราณ</t>
  </si>
  <si>
    <t>81 หมู่บ้านคีรีวงกต ต.นาแค อ.นายูง จ.อุดรธานี</t>
  </si>
  <si>
    <t>ทำเกษตรปลูกยางพารา</t>
  </si>
  <si>
    <t>นางเอ้า</t>
  </si>
  <si>
    <t>ดาคร</t>
  </si>
  <si>
    <t>76 หมู่บ้านคีรีวงกต หมู่ที่ 4 ต.นาแค อ.นายูง จ.อุดรธานี</t>
  </si>
  <si>
    <t>นางหนูพันธ์</t>
  </si>
  <si>
    <t>อนันทวรรณ</t>
  </si>
  <si>
    <t>47 หมู่บ้านคีรีวงกต หมู่ที่ 4 ต.นาแค อ.นายูง จ.อุดรธานี</t>
  </si>
  <si>
    <t>6. บัณฑิตวิทยาลัย</t>
  </si>
  <si>
    <t>นางเพชร</t>
  </si>
  <si>
    <t>จันทรเสนา</t>
  </si>
  <si>
    <t>103 หมู่ที่ 10 ต.เชียงแหว อ.กุมภวาปี จ.อุดรธานี</t>
  </si>
  <si>
    <t>ท่าเรือนำเที่ยวทะเลบัวแดง (บ้านเดียม)</t>
  </si>
  <si>
    <t>ขับเรือนำเที่ยวและขายของที่ระลึก</t>
  </si>
  <si>
    <t>นายไพรสิทธิ์</t>
  </si>
  <si>
    <t>สุขรม</t>
  </si>
  <si>
    <t>91 หมู่ที่ 10 ต.เชียงแหว อ.กุมภวาปี จ.อุดรธานี</t>
  </si>
  <si>
    <t>นางวิรัตนา</t>
  </si>
  <si>
    <t>ทองประเสริฐ</t>
  </si>
  <si>
    <t>173 หมู่ที่ 5 ต.เชียงแหว อ.กุมภวาปี จ.อุดรธานี</t>
  </si>
  <si>
    <t>นางสมหมาย</t>
  </si>
  <si>
    <t>พลกุล</t>
  </si>
  <si>
    <t>15 หมู่ที่ 10 ต.เชียงแหว อ.กุมภวาปี จ.อุดรธานี</t>
  </si>
  <si>
    <t>นางหนูนิจ</t>
  </si>
  <si>
    <t>อุทัยมา</t>
  </si>
  <si>
    <t>139 หมู่ที่ 5 ต.เชียงแหว อ.กุมภวาปี จ.อุดรธานี</t>
  </si>
  <si>
    <t>นายวิลัย</t>
  </si>
  <si>
    <t>ยาตุนุเคราะห์</t>
  </si>
  <si>
    <t>76 หมู่ที่ 10 ต.เชียงแหว อ.กุมภวาปี จ.อุดรธานี</t>
  </si>
  <si>
    <t>นายสมาน</t>
  </si>
  <si>
    <t>แสงภาพ</t>
  </si>
  <si>
    <t>103 หมู่ที่ 5 ต.เชียงแหว อ.กุมภวาปี จ.อุดรธานี</t>
  </si>
  <si>
    <t>นายหนูไกร</t>
  </si>
  <si>
    <t>ทิพวงษา</t>
  </si>
  <si>
    <t>63 หมู่ที่ 10 ต.เชียงแหว อ.กุมภวาปี จ.อุดรธานี</t>
  </si>
  <si>
    <t>7. วิทยาลัยการจัดการอุตสาหกรรมบริการ</t>
  </si>
  <si>
    <t>นางวลี</t>
  </si>
  <si>
    <t>สวดมาลัย</t>
  </si>
  <si>
    <t>42/1 หมู่ที่ 4 ต.คลองโยง อ.พุทธมณฑล จ.นครปฐม</t>
  </si>
  <si>
    <t>ชุมชนบ้านวัดมะเกลือ อ.พุทธมณฑล จ.นครปฐม</t>
  </si>
  <si>
    <t>ผลิตภัณฑ์ผ้ามัดย้อมมะเกลือ</t>
  </si>
  <si>
    <t>นางสาวประทุม</t>
  </si>
  <si>
    <t>แผ้วภักดี</t>
  </si>
  <si>
    <t>40/37 หมู่ที่ 4 ต.คลองโยง อ.พุทธมณฑล จ.นครปฐม</t>
  </si>
  <si>
    <t>นางประคอง</t>
  </si>
  <si>
    <t>ศรศาสตร์</t>
  </si>
  <si>
    <t>42/2 หมู่ที่ 4 ต.คลองโยง อ.พุทธมณฑล จ.นครปฐม</t>
  </si>
  <si>
    <t>นางสาวอมรพรรณ</t>
  </si>
  <si>
    <t>สกุลงาม</t>
  </si>
  <si>
    <t>59/13 หมู่ที่ 4 ต.คลองโยง อ.พุทธมณฑล จ.นครปฐม</t>
  </si>
  <si>
    <t>นางพรรณี</t>
  </si>
  <si>
    <t>โล่อุไร</t>
  </si>
  <si>
    <t>40/18 หมู่ที่ 4 ต.คลองโยง อ.พุทธมณฑล จ.นครปฐม</t>
  </si>
  <si>
    <t>นางติ๊บ</t>
  </si>
  <si>
    <t>แสนสุรีย์</t>
  </si>
  <si>
    <t>42/6 หมู่ที่ 4 ต.คลองโยง อ.พุทธมณฑล จ.นครปฐม</t>
  </si>
  <si>
    <t>นางสาวรวงทิพย์</t>
  </si>
  <si>
    <t>พลอยสำลี</t>
  </si>
  <si>
    <t>หมู่ที่ 4 ต.คลองโยง อ.พุทธมณฑล จ.นครปฐม</t>
  </si>
  <si>
    <t>นางสาวอรุโณทัย</t>
  </si>
  <si>
    <t>สุขธูป</t>
  </si>
  <si>
    <t>42/3 หมู่ที่ 4 ต.คลองโยง อ.พุทธมณฑล จ.นครปฐม</t>
  </si>
  <si>
    <t>8. วิทยาลัยนวัตกรรมและการจัดการ</t>
  </si>
  <si>
    <t>นางสาวสุชาดา</t>
  </si>
  <si>
    <t>นาคา</t>
  </si>
  <si>
    <t>61 หมู่ที่ 2 ต.นาคา อ.สุขสำราญ จ.ระนอง</t>
  </si>
  <si>
    <t>ชุมชนบ้านนาพรุ อ.สุขสำราญ</t>
  </si>
  <si>
    <t>ผลติภัณฑ์แปรรูปจากเคย/กะปิ</t>
  </si>
  <si>
    <t>นางสาฝีย๊ะ</t>
  </si>
  <si>
    <t>ณ ตะกั่วทุ่ง</t>
  </si>
  <si>
    <t>2/3 หมู่ที่ 2 ต.นาคา อ.สุขสำราญ จ.ระนอง</t>
  </si>
  <si>
    <t>นางบีต๊ะ</t>
  </si>
  <si>
    <t>จิตชำนาญ</t>
  </si>
  <si>
    <t>100 หมู่ที่ 2 ต.นาคา อ.สุขสำราญ จ.ระนอง</t>
  </si>
  <si>
    <t>นางสาวลัดดา</t>
  </si>
  <si>
    <t>อาจหาญ</t>
  </si>
  <si>
    <t>235 หมู่ที่ 2 ต.นาคา อ.สุขสำราญ จ.ระนอง</t>
  </si>
  <si>
    <t>นายสมหวัง</t>
  </si>
  <si>
    <t>บัวสหมัด</t>
  </si>
  <si>
    <t>144 หมู่ที่ 2 ต.นาคา อ.สุขสำราญ จ.ระนอง</t>
  </si>
  <si>
    <t>นางสุดา</t>
  </si>
  <si>
    <t>วิชิตกุล</t>
  </si>
  <si>
    <t>93/2 หมู่ที่ 2 ต.นาคา อ.สุขสำราญ จ.ระนอง</t>
  </si>
  <si>
    <t>นางสาวฮูซัยนี</t>
  </si>
  <si>
    <t>โต๊ะพ่อ</t>
  </si>
  <si>
    <t>11/5 หมู่ที่ 2 ต.นาคา อ.สุขสำราญ จ.ระนอง</t>
  </si>
  <si>
    <t>นงสาวทัศนีย์</t>
  </si>
  <si>
    <t>ผดุงชาติ</t>
  </si>
  <si>
    <t>100/7 หมู่ที่ 2 ต.นาคา อ.สุขสำราญ จ.ระนอง</t>
  </si>
  <si>
    <t>9. วิทยาลัยพยาบาลและสุขภาพ</t>
  </si>
  <si>
    <t>ไพรบึง</t>
  </si>
  <si>
    <t>90/1ถนนศรีอยุธยา แขวงวชิรพยาบาล เขตดุสิต กทม.</t>
  </si>
  <si>
    <t>ชุมชนวัดเทวราชกุญชร เขตดุสิต</t>
  </si>
  <si>
    <t>ผู้ดูแลเด็กเล็ก</t>
  </si>
  <si>
    <t>นางเรวดี</t>
  </si>
  <si>
    <t>พระเดชะ</t>
  </si>
  <si>
    <t>32 ถนนศรีอยุธยา แขวงวชิรพยาบาล เขตดุสิต กทม.</t>
  </si>
  <si>
    <t>นางสาวกศิปภา</t>
  </si>
  <si>
    <t>ภัณฑกิจ</t>
  </si>
  <si>
    <t>38 ถนนศรีอยุธยา แขวงวชิรพยาบาล เขตดุสิต กทม.</t>
  </si>
  <si>
    <t>นางวิไลวรรณ</t>
  </si>
  <si>
    <t>แทนวงศ์</t>
  </si>
  <si>
    <t>40 ถนนศรีอยุธยา แขวงวชิรพยาบาล เขตดุสิต กทม.</t>
  </si>
  <si>
    <t>นางชนากานต์</t>
  </si>
  <si>
    <t>วงษ์สุวรรณ</t>
  </si>
  <si>
    <t>บ้านมั่นคงกัลยาณมิตร 22/54 ถ.ประชาราษฏร์ สาย 1 ซ.38/1 แขวง/เขตบางซื่อ กทม. 10800</t>
  </si>
  <si>
    <t>ชุมชนกัลยาณมิตร</t>
  </si>
  <si>
    <t>นางกรรณิการ์</t>
  </si>
  <si>
    <t>ฉัตรเกษ</t>
  </si>
  <si>
    <t>128 ซ.บรมราชชนนี 67 ฉิมพลี ตลิ่งชัน กรุงเทพฯ 10170</t>
  </si>
  <si>
    <t>ชุมชนวัดกระจัง</t>
  </si>
  <si>
    <t>นางสาวทองศรี</t>
  </si>
  <si>
    <t>วงศ์มาเกษ</t>
  </si>
  <si>
    <t>411/30 ซ.จรัญสนิทวงศ์ 83 แขวงบางอ้อ เขตบางพลัด กทม.</t>
  </si>
  <si>
    <t>ชุมชนบ้านมั่นคงฟ้าใหม่ แขวงบางอ้อ</t>
  </si>
  <si>
    <t>นางสาวสุภาณัช</t>
  </si>
  <si>
    <t>ประจวบสุข</t>
  </si>
  <si>
    <t>1442 ซ.จรัญสนิทวงศ์ 85 แขวงบางอ้อ เขตบางพลัด กทม.</t>
  </si>
  <si>
    <t>10. วิทยาลัยสหเวชศาสตร์</t>
  </si>
  <si>
    <t>น.ส.ระเบียบ</t>
  </si>
  <si>
    <t>คงสอน</t>
  </si>
  <si>
    <t>เลขที่ 33 หมู่ที่ 1 ตำบลสวนหลวง อ.อัมพวา จ.สมุทรสงคราม 75110</t>
  </si>
  <si>
    <t>ตำบลสวนหลวง อำเภออัมพวา จังหวัดสมุทรสงคราม</t>
  </si>
  <si>
    <t>เกษตรกร ทำสวนปลูกมะพร้าว, ลิ้นจี่</t>
  </si>
  <si>
    <t>นายศิริชัย</t>
  </si>
  <si>
    <t>เม้งศิริ</t>
  </si>
  <si>
    <t>เลขที่ 41 หมู่ที่ 1 ซ.เกษตรอำเภอ 8 ถ.อัมพวา-บางคนที่ ตำบลกระดังงา
อ.บางคนที จ.สมุทรสงคราม 75120</t>
  </si>
  <si>
    <t>ตลาดน้ำบางน้อย ตำบลกระดังงา อำเภอบางคนที</t>
  </si>
  <si>
    <t>รับจ้างอิสระ/ค้าขาย</t>
  </si>
  <si>
    <t>น.ส.บุญมี</t>
  </si>
  <si>
    <t>นิติสาขา</t>
  </si>
  <si>
    <t>เลขที่ 50/3 ชุมชนเกาะใหญ่ หมู่ที่ 6 ถ.แม่กลองบางนกแขวก ต.กระดังงา
อ.บางคนที จ.สมุทรสงคราม 75120</t>
  </si>
  <si>
    <t>น.ส.นันทพัชชุ์</t>
  </si>
  <si>
    <t>เถื่อนสุวรรณ์</t>
  </si>
  <si>
    <t>เลขที่ 13/1 หมู่บ้านดอนมะโนรา หมู่ที่ 4 ต.ดอนมะโนรา อ.บางคนที
จ.สมุทรสงคราม 75120</t>
  </si>
  <si>
    <t>บ้านเห็ดกลุ่มวิสาหกิจชุมชนกลุ่มเกษตรสร้างสรรค์
ตำบลดอนมะโนรา อำเภอบางคนที</t>
  </si>
  <si>
    <t>เกษตรกร ทำสวนปลูกมะพร้าว</t>
  </si>
  <si>
    <t>นางสุมนา</t>
  </si>
  <si>
    <t>เจริญรัมย์</t>
  </si>
  <si>
    <t>เลขที่ 68/5 หมู่ที่ 7 ตำบลบางนกแขวก อำเภอบางคนที จังหวัดสมุทรสงคราม 75120</t>
  </si>
  <si>
    <t>ตำบลบางนกแขวก อำเภอบางคนที จังหวัดสมุทรสงคราม</t>
  </si>
  <si>
    <t>นางชูลาภ</t>
  </si>
  <si>
    <t>อินทชัย</t>
  </si>
  <si>
    <t>เลขที่ 12 หมู่บ้าน/อาคาร 3 หมู่ที่ 3 ตำบลบางนกแขวก อำเภอบางคนที จังหวัดสมุทรสงคราม 75120</t>
  </si>
  <si>
    <t>นายปัณณฑัต</t>
  </si>
  <si>
    <t>นวนแสง</t>
  </si>
  <si>
    <t>เลขที่ 101 หมู่ที่ 1 ตำบลบางสะแก อำเภอบางคนที จังหวัดสมุทรสงคราม 75120</t>
  </si>
  <si>
    <t>ตำบลบางสะแก อำเภอบางคนที จังหวัดสมุทรสงคราม</t>
  </si>
  <si>
    <t>ค้าขาย</t>
  </si>
  <si>
    <t>นายกิจพัฒน์</t>
  </si>
  <si>
    <t>คงรักษา</t>
  </si>
  <si>
    <t>เลขที่ 83/9 หมู่ที่ 2 ตำบลบางจะเกร็ง อำเภอเมืองสมุทรสงคราม จังหวัดสมุทรสงคราม 75000</t>
  </si>
  <si>
    <t>ตำบลบางจะเกร็ง อำเภอเมืองสมุทรสงคราม จังหวัดสมุทรสงคราม</t>
  </si>
  <si>
    <t>11. วิทยาลัยนิเทศศาสตร์</t>
  </si>
  <si>
    <t>นางลิ้นจี่</t>
  </si>
  <si>
    <t>อ่อนสัมพันธ์</t>
  </si>
  <si>
    <t>49/2 ม.1 ต.คลองโยง อ.พุทธมณฑล จ.นครปฐม</t>
  </si>
  <si>
    <t>ชุมชนหมู่ที่ 1 ต.คลองโยง อ.พุทธมณฑล จ.นครปฐม</t>
  </si>
  <si>
    <t>น้ำพริกแกงคั่ว</t>
  </si>
  <si>
    <t>นางอารมย์</t>
  </si>
  <si>
    <t>สุขาบูรณ์</t>
  </si>
  <si>
    <t>41/6 ม.1 ถ.เลียบคลองโยง ต.คลองโยง อ.พุทธมณฑล จ.นครปฐม</t>
  </si>
  <si>
    <t>ปลูกผักชีฝรั่ง</t>
  </si>
  <si>
    <t>น.ส.ทัศนีย์</t>
  </si>
  <si>
    <t>วัฒน์สืบแถว</t>
  </si>
  <si>
    <t>33/2 ม.1 ถ.เลียบคลองโยง ต.คลองโยง อ.พุทธมณฑล จ.นครปฐม</t>
  </si>
  <si>
    <t>น.ส.อมรรัตน์</t>
  </si>
  <si>
    <t>เหมือนวงษ์ธรรม</t>
  </si>
  <si>
    <t>35 ม.1 ถ.เลียบคลองโยง ต.คลองโยง อ.พุทธมณฑล จ.นครปฐม</t>
  </si>
  <si>
    <t>น.ส.สำอางค์</t>
  </si>
  <si>
    <t>ดวงสร้อยทอง</t>
  </si>
  <si>
    <t>49/1 ม.1 ต.คลองโยง อ.พุทธมณฑล จ.นครปฐม</t>
  </si>
  <si>
    <t>ทำการเกษตร</t>
  </si>
  <si>
    <t>น.ส.นวลวงษ์</t>
  </si>
  <si>
    <t>พลอยสุกใส</t>
  </si>
  <si>
    <t>43/5 ม.1 ต.คลองโยง อ.พุทธมณฑล จ.นครปฐม</t>
  </si>
  <si>
    <t>น.ส.สมใจ</t>
  </si>
  <si>
    <t>42/1 ม.1 ต.คลองโยง อ.พุทธมณฑล จ.นครปฐม</t>
  </si>
  <si>
    <t>นางกุลพรภัสร์</t>
  </si>
  <si>
    <t>34/1 ม.1 ต.คลองโยง อ.พุทธมณฑล จ.นครปฐม</t>
  </si>
  <si>
    <t xml:space="preserve">12. วิทยาลัยโลจิสติกส์และซัพพลายเชน </t>
  </si>
  <si>
    <t>นายจรัญ</t>
  </si>
  <si>
    <t>กลิ่นแพทย์กิจ</t>
  </si>
  <si>
    <t>บ้านเลขที่ 59/8 ชุมชนศาลาดิน หมู่ที่ 3 ตำบลมหาสวัสดิ์ อำเภอพุทธมณฑล 
จังหวัดนครปฐม</t>
  </si>
  <si>
    <t>การแปรรูปเพิ่มมูลค้าผลิตภัณฑ์จากใบเตยหอม เพื่อเพิ่มทักษะการขายสินค้าการผลิตน้ำยาล้างจานใบเตยหอม</t>
  </si>
  <si>
    <t>นางสาวน้ำอ้อย</t>
  </si>
  <si>
    <t>โพธิอำพร</t>
  </si>
  <si>
    <t>บ้านเลขที่ 35/2 ชุมชนศาลาดิน หมู่ที่ 3 ตำบลมหาสวัสดิ์ อำเภอพุทธมณฑล จังหวัดนครปฐม</t>
  </si>
  <si>
    <t>การตลาดออนไลน์และออฟไลน์ เพื่อเพิ่มทักษะการขายสินค้าทั้งรูปแบบออนไลน์และออฟไลน์ สบู่เหลวออร์แกนิคมะพร้าวน้ำหอม</t>
  </si>
  <si>
    <t>นางสาวหทัยนันท์</t>
  </si>
  <si>
    <t>หร่ายมณี</t>
  </si>
  <si>
    <t>บ้านเลขที่ 30 หมู่ที่ 5 ตำบลบ้านยาง อำเภอเมือง จังหวัดนครปฐม</t>
  </si>
  <si>
    <t>การเพิ่มรายได้ของเกษตรกรผู้เลี้ยงโคเนื้อ เพื่อเพิ่มช่องทางการจำหน่าย</t>
  </si>
  <si>
    <t>นายณภัทร</t>
  </si>
  <si>
    <t>ตาณธนพนธ์</t>
  </si>
  <si>
    <t>บ้านเลขที่ 9 หมู่ที่ 6 ตำบลหนองงูเหลือม 
อำเภอเมือง จังหวัดนครปฐม</t>
  </si>
  <si>
    <t>บ้านเลขที่ 9 หมู่ที่ 6 ตำบลหนองงูเหลือม อำเภอเมือง จังหวัดนครปฐม</t>
  </si>
  <si>
    <t>การพัฒนาศักยภาพการท่องเที่ยวชุมชนบนวิถีชีวิตหมู่บ้านปลากัดจังหวัดนครปฐม</t>
  </si>
  <si>
    <t>นายพิชัย</t>
  </si>
  <si>
    <t>เถลิงศักดาเดช</t>
  </si>
  <si>
    <t>บ้านเลขที่ 16/2 ชุมชนสามควายเผือก หมู่ที่ 5 ตำบลสามควายเผือก อำเภอเมือง จังหวัดนครปฐม</t>
  </si>
  <si>
    <t>การออกบรรจุภัณฑ์ที่มีเอกลักษณ์และปลาสวยงาม เพื่อเพิ่มจำนวนการจำหน่าย</t>
  </si>
  <si>
    <t>นายชาตรี</t>
  </si>
  <si>
    <t>เกิดโถ</t>
  </si>
  <si>
    <t>บ้านเลขที่ 9849 ชุมชนม่วงตารส หมู่ที่ 6 ตำบลนครปฐม อำเภอเมือง จังหวัดนครปฐม</t>
  </si>
  <si>
    <t>การพัฒนาศักยภาพด้านการตลาดออนไลน์สำหรับเกษตรกรผักปลอดภัยในจังหวัดนครปฐม</t>
  </si>
  <si>
    <t>นางสาวปัทมา</t>
  </si>
  <si>
    <t>จันทร์มีชัย</t>
  </si>
  <si>
    <t>บ้านเลขที่ 8 หมู่ที่ 6 ตำบลบางเลน อำเภอบางเลน จังหวัดนครปฐม</t>
  </si>
  <si>
    <t>บ้านเลขที่ 20 หมู่ที่ 6 ตำบลบางเลน อำเภอบางเลน จังหวัดนครปฐม</t>
  </si>
  <si>
    <t>การพัฒนาผลิตภัณฑ์ท้องถิ่นตลอดโซ่อุปทานและโลจิสติกส์ของสินค้าเกษตรบัวแดง เพื่อเพิ่มประสิทธิภาพทางการจัดการชุมชนอย่างยั่งยืนในอำเภอบางเลน จังหวัดนครปฐม</t>
  </si>
  <si>
    <t>นายสุริยา</t>
  </si>
  <si>
    <t>ศิริวงษ์</t>
  </si>
  <si>
    <t>บ้านเลขที่ 8 หมู่ที่ 9 ตำบลลำเลียง อำเภอกระบุรี จังหวัดระนอง</t>
  </si>
  <si>
    <t>การแปรรูปเพิ่มมูลค้าผลิตภัณฑ์จากมังคุด เพื่อเพิ่มทักษะการขายสินค้าการผลิตสบู่เหลวมังคุด</t>
  </si>
  <si>
    <t>13. วิทยาลัยสถาปัตยกรรมศาสตร์</t>
  </si>
  <si>
    <t>นางสาวสมพร</t>
  </si>
  <si>
    <t>ฉากจินดา</t>
  </si>
  <si>
    <t>บ้านเลขที่ 75/1 ชุมชนวัดสวัสดิ ถนนพิชัย แขวงนครไชยศรี เขตดุสิต จังหวัดกรุงเทพมหานคร 
10300</t>
  </si>
  <si>
    <t>ชุมชนวัดสวัสดิ์วารีสีมาราม เขตดุสิต กรุงเทพมหานคร</t>
  </si>
  <si>
    <t>อสส./รับจ้างอิสระ</t>
  </si>
  <si>
    <t>นางสาวอำภา</t>
  </si>
  <si>
    <t>แก้วโสวัฒนะ</t>
  </si>
  <si>
    <t>บ้านเลขที่ 1074/1 ตรอกวัดแคใต้ ถนนนครไชยศรี เขตดุสิต จังหวัดกรุงเทพมหานคร 10300</t>
  </si>
  <si>
    <t>รับจ้าง/การสร้างผลิตภัณฑ์น้ำมันนวดดาวอินคา</t>
  </si>
  <si>
    <t>นางสาวกาญจนา</t>
  </si>
  <si>
    <t>วัชฤทธิ์</t>
  </si>
  <si>
    <t>บ้านเลขที่ 1016 ตรอกวัดแคใต้ ถนนนครไชยศรี เขตดุสิต จังหวัดกรุงเทพมหานคร 10300</t>
  </si>
  <si>
    <t>ค้าขาย/การสร้างผลิตภัณฑ์น้ำมันหอมหยดแมสก์</t>
  </si>
  <si>
    <t>นางสาวจันทร์ใด</t>
  </si>
  <si>
    <t>เหมะธุนินทร์</t>
  </si>
  <si>
    <t>บ้านเลขที่ 579 ตรอกวัดแคใต้ ถนนนครไชยศรี เขตดุสิต จังหวัดกรุงเทพมหานคร 10300</t>
  </si>
  <si>
    <t>ครูศูนย์พัฒนาเด็กเล็กก่อนวัยเรียน/รับจ้างอิสระ</t>
  </si>
  <si>
    <t>นายเทอดศักดิ์</t>
  </si>
  <si>
    <t>อมแสง</t>
  </si>
  <si>
    <t>บ้านเลขที่ 1062/3 ตรอกวัดแคใต้ ถนนนครไชยศรี เขตดุสิต จังหวัดกรุงเทพมหานคร 10300</t>
  </si>
  <si>
    <t>ค้าขายอาหาร</t>
  </si>
  <si>
    <t>นางสุรีย์พร</t>
  </si>
  <si>
    <t>สาตราคม</t>
  </si>
  <si>
    <t>บ้านเลขที่ 980/2 ตรอกวัดแคใต้ ถนนนครไชยศรี เขตดุสิต จังหวัดกรุงเทพมหานคร 10300</t>
  </si>
  <si>
    <t>นางหนูทิพย์</t>
  </si>
  <si>
    <t>กระชวยชื่น</t>
  </si>
  <si>
    <t>บ้านเลขที่ 1058/2 ตรอกวัดแคใต้ ถนนนครไชยศรี เขตดุสิต จังหวัดกรุงเทพมหานคร 10300</t>
  </si>
  <si>
    <t>นางสาวนัยนา</t>
  </si>
  <si>
    <t>ยลจอหอ</t>
  </si>
  <si>
    <t>รับจ้าง/การสร้างผลิตภัณฑ์น้ำมันหอมหยดแมสก์</t>
  </si>
  <si>
    <t>14.วิทยาลัยการเมืองและการปกครอง</t>
  </si>
  <si>
    <t>นายสมปอง</t>
  </si>
  <si>
    <t>ปกครอง</t>
  </si>
  <si>
    <t>บ้านเลขที่ 123/18 หมู่ที่ 3 ต.บางนอน อ.เมืองระนอง จ.ระนอง 85000</t>
  </si>
  <si>
    <t>ชุมชนบ้านบางนอน ตำบลบางนอน อำเภอเมืองระนอง จังหวัดระนอง</t>
  </si>
  <si>
    <t>ผลิตภัณฑ์เกษตรออแกนิค</t>
  </si>
  <si>
    <t>นางอำพร</t>
  </si>
  <si>
    <t>บุญน่วม</t>
  </si>
  <si>
    <t>บ้านเลขที่ 6/122 หมู่ที่ 1 ตำบลบางนอน อำเภอเมืองระนอง จังหวัดระนอง 85000</t>
  </si>
  <si>
    <t>ผลิตภัณฑ์การเกษตร</t>
  </si>
  <si>
    <t>นางปัทมพร</t>
  </si>
  <si>
    <t>แก้วมีศรี</t>
  </si>
  <si>
    <t>บ้านเลขที่ 8/106 หมู่ที่ 1 ต.บางนอน อ.เมืองระนอง จ.ระนอง 85000</t>
  </si>
  <si>
    <t>นางบุบผา</t>
  </si>
  <si>
    <t>บ้านเลขที่ 22/41 หมู่ที่ 1 ต.นาคา อ.สุขสำราญ จ.ระนอง 85000</t>
  </si>
  <si>
    <t>นางสุมล</t>
  </si>
  <si>
    <t>สาระกูล</t>
  </si>
  <si>
    <t>บ้านเลขที่ 8/81 หมู่ที่ 1 ต.บางนอน อ.เมืองระนอง จ.ระนอง 85000</t>
  </si>
  <si>
    <t>นางจิราวรรณ</t>
  </si>
  <si>
    <t>ผลดี</t>
  </si>
  <si>
    <t>บ้านเลขที่ 15/59 หมู่ 1 ต.บางนอน อ.เมืองระนอง จ.ระนอง 85000</t>
  </si>
  <si>
    <t>นายสกล</t>
  </si>
  <si>
    <t>วุธิรักษ์</t>
  </si>
  <si>
    <t>บ้านเลขที่ 90/106 หมู่ที่ 1 ต.ปากน้ำ อ.เมืองระนอง จ.ระนอง 85000</t>
  </si>
  <si>
    <t>นางสาวศิลสวรรค์</t>
  </si>
  <si>
    <t>เรื่อศรีจันทร์</t>
  </si>
  <si>
    <t>บ้านเลขที่ 8/27 หมู่ที่ 1 ต.ปากน้ำ อ.เมืองระนอง จ.ระนอง 85000</t>
  </si>
  <si>
    <t>15. สถาบันวิจัยและพัฒนา</t>
  </si>
  <si>
    <t>นางอุดม</t>
  </si>
  <si>
    <t>ศรีมงคล</t>
  </si>
  <si>
    <t>151/9 ซอยวัดประชาระบือธรรม ถนนนครไชยศรี แขวงถนนนครไชยศรี เขตดุสิต กรุงเทพมหานคร 10300</t>
  </si>
  <si>
    <t>ชุมชนวัดประชาระบือธรรม เขตดุสิต กรุงเทพมหานคร</t>
  </si>
  <si>
    <t>การนวดกดจุดฝ่าเท้า และจำหน่ายผลิตภัณฑ์ยาหม่องน้ำมันสมุนไพรพญาว่าน</t>
  </si>
  <si>
    <t>นางเทียบ</t>
  </si>
  <si>
    <t>ชัยศรีมาวงศ์</t>
  </si>
  <si>
    <t>157 ซอยวัดประชาระบือธรรม ถนนพระราม 5 แขวงถนนนครไชยศรี เขตดุสิต กรุงเทพมหานคร 10300</t>
  </si>
  <si>
    <t>นางสาวเพชรปวีณ์</t>
  </si>
  <si>
    <t>ธนธันยวงศ์</t>
  </si>
  <si>
    <t>147/2 ซอยวัดประชาระบือธรรม ถนนพระราม 5 แขวงถนนนครไชยศรี เขตดุสิต กรุงเทพมหานคร 10300</t>
  </si>
  <si>
    <t>จำนวนครัวเรือนทั้งหมด</t>
  </si>
  <si>
    <t>112 ครัวเรือน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</si>
</sst>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_-* #,##0.00_-;\-* #,##0.00_-;_-* &quot;-&quot;??_-;_-@_-"/>
  </numFmts>
  <fonts count="34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sz val="15"/>
      <color theme="1"/>
      <name val="Wingdings"/>
      <charset val="2"/>
    </font>
    <font>
      <sz val="16"/>
      <name val="TH SarabunPSK"/>
      <family val="2"/>
    </font>
    <font>
      <sz val="10"/>
      <color rgb="FF000000"/>
      <name val="Tahoma"/>
      <family val="2"/>
      <scheme val="minor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4"/>
      <color theme="1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PSK"/>
      <family val="2"/>
    </font>
    <font>
      <sz val="15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7" fillId="0" borderId="0"/>
    <xf numFmtId="188" fontId="3" fillId="0" borderId="0" applyFont="0" applyFill="0" applyBorder="0" applyAlignment="0" applyProtection="0"/>
    <xf numFmtId="188" fontId="8" fillId="0" borderId="0" applyFont="0" applyFill="0" applyBorder="0" applyAlignment="0" applyProtection="0"/>
  </cellStyleXfs>
  <cellXfs count="217">
    <xf numFmtId="0" fontId="0" fillId="0" borderId="0" xfId="0"/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vertical="top"/>
    </xf>
    <xf numFmtId="0" fontId="5" fillId="3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6" fillId="4" borderId="0" xfId="1" applyFont="1" applyFill="1"/>
    <xf numFmtId="0" fontId="4" fillId="5" borderId="4" xfId="1" applyFont="1" applyFill="1" applyBorder="1" applyAlignment="1">
      <alignment horizontal="center" vertical="top" wrapText="1"/>
    </xf>
    <xf numFmtId="0" fontId="4" fillId="5" borderId="5" xfId="1" applyFont="1" applyFill="1" applyBorder="1" applyAlignment="1">
      <alignment horizontal="center" vertical="top" wrapText="1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6" fillId="3" borderId="5" xfId="1" applyFont="1" applyFill="1" applyBorder="1"/>
    <xf numFmtId="0" fontId="5" fillId="3" borderId="5" xfId="1" applyFont="1" applyFill="1" applyBorder="1" applyAlignment="1">
      <alignment vertical="top" wrapText="1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9" fillId="3" borderId="8" xfId="2" applyFont="1" applyFill="1" applyBorder="1" applyAlignment="1">
      <alignment horizontal="center" vertical="top" wrapText="1"/>
    </xf>
    <xf numFmtId="0" fontId="10" fillId="4" borderId="0" xfId="1" applyFont="1" applyFill="1" applyAlignment="1">
      <alignment vertical="top" wrapText="1"/>
    </xf>
    <xf numFmtId="0" fontId="11" fillId="4" borderId="0" xfId="1" applyFont="1" applyFill="1"/>
    <xf numFmtId="0" fontId="12" fillId="3" borderId="8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left" vertical="top" wrapText="1" indent="1"/>
    </xf>
    <xf numFmtId="0" fontId="11" fillId="4" borderId="8" xfId="1" applyFont="1" applyFill="1" applyBorder="1" applyAlignment="1">
      <alignment horizontal="center" vertical="center" wrapText="1"/>
    </xf>
    <xf numFmtId="1" fontId="11" fillId="4" borderId="8" xfId="3" applyNumberFormat="1" applyFont="1" applyFill="1" applyBorder="1" applyAlignment="1">
      <alignment horizontal="center" vertical="top" wrapText="1"/>
    </xf>
    <xf numFmtId="0" fontId="11" fillId="4" borderId="8" xfId="3" applyFont="1" applyFill="1" applyBorder="1" applyAlignment="1">
      <alignment horizontal="center" vertical="center" wrapText="1"/>
    </xf>
    <xf numFmtId="2" fontId="11" fillId="4" borderId="8" xfId="1" applyNumberFormat="1" applyFont="1" applyFill="1" applyBorder="1" applyAlignment="1">
      <alignment horizontal="center" vertical="top" wrapText="1"/>
    </xf>
    <xf numFmtId="187" fontId="11" fillId="4" borderId="8" xfId="1" applyNumberFormat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2" fontId="1" fillId="4" borderId="8" xfId="3" applyNumberFormat="1" applyFont="1" applyFill="1" applyBorder="1" applyAlignment="1">
      <alignment horizontal="center" vertical="top" wrapText="1"/>
    </xf>
    <xf numFmtId="0" fontId="1" fillId="4" borderId="8" xfId="3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/>
    </xf>
    <xf numFmtId="0" fontId="11" fillId="4" borderId="8" xfId="3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top"/>
    </xf>
    <xf numFmtId="0" fontId="15" fillId="4" borderId="8" xfId="1" applyFont="1" applyFill="1" applyBorder="1" applyAlignment="1">
      <alignment horizontal="center" vertical="top"/>
    </xf>
    <xf numFmtId="0" fontId="1" fillId="0" borderId="8" xfId="1" applyFont="1" applyBorder="1" applyAlignment="1">
      <alignment horizontal="left" vertical="top" wrapText="1" indent="1"/>
    </xf>
    <xf numFmtId="0" fontId="16" fillId="4" borderId="9" xfId="1" applyFont="1" applyFill="1" applyBorder="1" applyAlignment="1">
      <alignment horizontal="left" vertical="top" wrapText="1" indent="1"/>
    </xf>
    <xf numFmtId="0" fontId="16" fillId="4" borderId="10" xfId="1" applyFont="1" applyFill="1" applyBorder="1" applyAlignment="1">
      <alignment horizontal="left" vertical="top" wrapText="1" indent="1"/>
    </xf>
    <xf numFmtId="2" fontId="11" fillId="4" borderId="8" xfId="4" applyNumberFormat="1" applyFont="1" applyFill="1" applyBorder="1" applyAlignment="1">
      <alignment horizontal="center" vertical="top" wrapText="1"/>
    </xf>
    <xf numFmtId="1" fontId="16" fillId="8" borderId="11" xfId="5" applyNumberFormat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center"/>
    </xf>
    <xf numFmtId="2" fontId="12" fillId="3" borderId="8" xfId="1" applyNumberFormat="1" applyFont="1" applyFill="1" applyBorder="1" applyAlignment="1">
      <alignment horizontal="center" vertical="top" wrapText="1"/>
    </xf>
    <xf numFmtId="187" fontId="12" fillId="3" borderId="8" xfId="1" applyNumberFormat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20" fillId="9" borderId="8" xfId="0" applyFont="1" applyFill="1" applyBorder="1" applyAlignment="1" applyProtection="1">
      <alignment horizontal="center" vertical="center" wrapText="1"/>
      <protection locked="0"/>
    </xf>
    <xf numFmtId="0" fontId="12" fillId="10" borderId="8" xfId="0" applyFont="1" applyFill="1" applyBorder="1" applyAlignment="1" applyProtection="1">
      <alignment horizontal="left" vertical="top" wrapText="1"/>
      <protection locked="0"/>
    </xf>
    <xf numFmtId="0" fontId="20" fillId="9" borderId="8" xfId="0" applyFont="1" applyFill="1" applyBorder="1" applyAlignment="1" applyProtection="1">
      <alignment horizontal="center" vertical="center" wrapText="1"/>
      <protection locked="0"/>
    </xf>
    <xf numFmtId="0" fontId="21" fillId="11" borderId="8" xfId="0" applyFont="1" applyFill="1" applyBorder="1" applyAlignment="1">
      <alignment horizontal="center" vertical="center" wrapText="1"/>
    </xf>
    <xf numFmtId="0" fontId="21" fillId="11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top"/>
      <protection locked="0"/>
    </xf>
    <xf numFmtId="187" fontId="19" fillId="4" borderId="8" xfId="0" applyNumberFormat="1" applyFont="1" applyFill="1" applyBorder="1" applyAlignment="1" applyProtection="1">
      <alignment horizontal="center" vertical="top"/>
      <protection locked="0"/>
    </xf>
    <xf numFmtId="0" fontId="1" fillId="8" borderId="8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/>
    </xf>
    <xf numFmtId="0" fontId="11" fillId="4" borderId="0" xfId="1" applyFont="1" applyFill="1" applyAlignment="1">
      <alignment wrapText="1"/>
    </xf>
    <xf numFmtId="0" fontId="6" fillId="4" borderId="0" xfId="3" applyFont="1" applyFill="1"/>
    <xf numFmtId="0" fontId="4" fillId="2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vertical="top"/>
    </xf>
    <xf numFmtId="0" fontId="4" fillId="2" borderId="3" xfId="3" applyFont="1" applyFill="1" applyBorder="1" applyAlignment="1">
      <alignment horizontal="center" vertical="top"/>
    </xf>
    <xf numFmtId="0" fontId="11" fillId="4" borderId="0" xfId="3" applyFont="1" applyFill="1"/>
    <xf numFmtId="0" fontId="4" fillId="5" borderId="4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vertical="top"/>
    </xf>
    <xf numFmtId="0" fontId="5" fillId="3" borderId="5" xfId="3" applyFont="1" applyFill="1" applyBorder="1" applyAlignment="1">
      <alignment vertical="top" wrapText="1"/>
    </xf>
    <xf numFmtId="0" fontId="4" fillId="5" borderId="6" xfId="0" applyFont="1" applyFill="1" applyBorder="1" applyAlignment="1" applyProtection="1">
      <alignment horizontal="center" vertical="top" wrapText="1"/>
      <protection locked="0"/>
    </xf>
    <xf numFmtId="0" fontId="22" fillId="4" borderId="0" xfId="3" applyFont="1" applyFill="1" applyAlignment="1">
      <alignment horizontal="left" vertical="top"/>
    </xf>
    <xf numFmtId="0" fontId="22" fillId="0" borderId="0" xfId="3" applyFont="1" applyAlignment="1">
      <alignment horizontal="left" vertical="top"/>
    </xf>
    <xf numFmtId="0" fontId="9" fillId="4" borderId="0" xfId="2" applyFont="1" applyFill="1" applyAlignment="1">
      <alignment vertical="top" wrapText="1"/>
    </xf>
    <xf numFmtId="0" fontId="10" fillId="4" borderId="0" xfId="3" applyFont="1" applyFill="1" applyAlignment="1">
      <alignment vertical="top" wrapText="1"/>
    </xf>
    <xf numFmtId="0" fontId="10" fillId="12" borderId="12" xfId="3" applyFont="1" applyFill="1" applyBorder="1" applyAlignment="1">
      <alignment horizontal="center" vertical="center" wrapText="1"/>
    </xf>
    <xf numFmtId="0" fontId="10" fillId="12" borderId="1" xfId="3" applyFont="1" applyFill="1" applyBorder="1" applyAlignment="1">
      <alignment horizontal="center" vertical="center" wrapText="1"/>
    </xf>
    <xf numFmtId="0" fontId="10" fillId="12" borderId="3" xfId="3" applyFont="1" applyFill="1" applyBorder="1" applyAlignment="1">
      <alignment horizontal="center" vertical="center" wrapText="1"/>
    </xf>
    <xf numFmtId="0" fontId="10" fillId="12" borderId="8" xfId="3" applyFont="1" applyFill="1" applyBorder="1" applyAlignment="1">
      <alignment horizontal="center" vertical="center" wrapText="1"/>
    </xf>
    <xf numFmtId="0" fontId="23" fillId="12" borderId="12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0" fillId="13" borderId="8" xfId="3" applyFont="1" applyFill="1" applyBorder="1" applyAlignment="1">
      <alignment horizontal="center" vertical="center" wrapText="1"/>
    </xf>
    <xf numFmtId="0" fontId="10" fillId="14" borderId="8" xfId="3" applyFont="1" applyFill="1" applyBorder="1" applyAlignment="1">
      <alignment horizontal="center" vertical="center" wrapText="1"/>
    </xf>
    <xf numFmtId="0" fontId="10" fillId="12" borderId="13" xfId="3" applyFont="1" applyFill="1" applyBorder="1" applyAlignment="1">
      <alignment horizontal="center" vertical="center" wrapText="1"/>
    </xf>
    <xf numFmtId="0" fontId="10" fillId="12" borderId="4" xfId="3" applyFont="1" applyFill="1" applyBorder="1" applyAlignment="1">
      <alignment horizontal="center" vertical="center" wrapText="1"/>
    </xf>
    <xf numFmtId="0" fontId="10" fillId="12" borderId="6" xfId="3" applyFont="1" applyFill="1" applyBorder="1" applyAlignment="1">
      <alignment horizontal="center" vertical="center" wrapText="1"/>
    </xf>
    <xf numFmtId="0" fontId="27" fillId="12" borderId="8" xfId="3" applyFont="1" applyFill="1" applyBorder="1" applyAlignment="1">
      <alignment horizontal="center" vertical="center" textRotation="90" wrapText="1"/>
    </xf>
    <xf numFmtId="0" fontId="22" fillId="3" borderId="8" xfId="3" applyFont="1" applyFill="1" applyBorder="1" applyAlignment="1">
      <alignment horizontal="center" vertical="center" wrapText="1"/>
    </xf>
    <xf numFmtId="0" fontId="22" fillId="13" borderId="8" xfId="3" applyFont="1" applyFill="1" applyBorder="1" applyAlignment="1">
      <alignment horizontal="center" vertical="center" wrapText="1"/>
    </xf>
    <xf numFmtId="0" fontId="11" fillId="11" borderId="8" xfId="3" applyFont="1" applyFill="1" applyBorder="1" applyAlignment="1">
      <alignment horizontal="center"/>
    </xf>
    <xf numFmtId="0" fontId="10" fillId="11" borderId="9" xfId="3" applyFont="1" applyFill="1" applyBorder="1" applyAlignment="1">
      <alignment horizontal="left" vertical="center" wrapText="1"/>
    </xf>
    <xf numFmtId="0" fontId="10" fillId="11" borderId="10" xfId="3" applyFont="1" applyFill="1" applyBorder="1" applyAlignment="1">
      <alignment horizontal="left" vertical="center" wrapText="1"/>
    </xf>
    <xf numFmtId="0" fontId="11" fillId="11" borderId="0" xfId="3" applyFont="1" applyFill="1"/>
    <xf numFmtId="0" fontId="10" fillId="11" borderId="14" xfId="3" applyFont="1" applyFill="1" applyBorder="1" applyAlignment="1">
      <alignment horizontal="center" vertical="center" wrapText="1"/>
    </xf>
    <xf numFmtId="188" fontId="22" fillId="11" borderId="12" xfId="3" applyNumberFormat="1" applyFont="1" applyFill="1" applyBorder="1" applyAlignment="1">
      <alignment horizontal="center" vertical="center" wrapText="1"/>
    </xf>
    <xf numFmtId="0" fontId="22" fillId="11" borderId="8" xfId="3" applyFont="1" applyFill="1" applyBorder="1" applyAlignment="1">
      <alignment horizontal="center" vertical="center" wrapText="1"/>
    </xf>
    <xf numFmtId="188" fontId="22" fillId="11" borderId="8" xfId="3" applyNumberFormat="1" applyFont="1" applyFill="1" applyBorder="1" applyAlignment="1">
      <alignment horizontal="center" vertical="center" wrapText="1"/>
    </xf>
    <xf numFmtId="0" fontId="10" fillId="11" borderId="13" xfId="3" applyFont="1" applyFill="1" applyBorder="1" applyAlignment="1">
      <alignment horizontal="center" vertical="center" wrapText="1"/>
    </xf>
    <xf numFmtId="188" fontId="10" fillId="11" borderId="13" xfId="6" applyFont="1" applyFill="1" applyBorder="1" applyAlignment="1">
      <alignment horizontal="center" vertical="center" wrapText="1"/>
    </xf>
    <xf numFmtId="0" fontId="29" fillId="15" borderId="8" xfId="3" applyFont="1" applyFill="1" applyBorder="1" applyAlignment="1">
      <alignment horizontal="center" vertical="top"/>
    </xf>
    <xf numFmtId="2" fontId="29" fillId="15" borderId="8" xfId="3" applyNumberFormat="1" applyFont="1" applyFill="1" applyBorder="1" applyAlignment="1">
      <alignment horizontal="center" vertical="top"/>
    </xf>
    <xf numFmtId="0" fontId="11" fillId="4" borderId="8" xfId="3" applyFont="1" applyFill="1" applyBorder="1" applyAlignment="1">
      <alignment horizontal="center" vertical="top"/>
    </xf>
    <xf numFmtId="0" fontId="30" fillId="4" borderId="9" xfId="3" applyFont="1" applyFill="1" applyBorder="1" applyAlignment="1">
      <alignment horizontal="left" vertical="top" wrapText="1"/>
    </xf>
    <xf numFmtId="0" fontId="30" fillId="4" borderId="7" xfId="3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0" fillId="0" borderId="10" xfId="3" applyFont="1" applyBorder="1" applyAlignment="1">
      <alignment horizontal="left" vertical="top" wrapText="1"/>
    </xf>
    <xf numFmtId="0" fontId="11" fillId="0" borderId="7" xfId="3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0" fontId="11" fillId="16" borderId="10" xfId="3" applyFont="1" applyFill="1" applyBorder="1"/>
    <xf numFmtId="0" fontId="10" fillId="16" borderId="8" xfId="3" applyFont="1" applyFill="1" applyBorder="1" applyAlignment="1">
      <alignment horizontal="center" vertical="center" wrapText="1"/>
    </xf>
    <xf numFmtId="188" fontId="11" fillId="13" borderId="8" xfId="6" applyFont="1" applyFill="1" applyBorder="1" applyAlignment="1">
      <alignment horizontal="center" vertical="top"/>
    </xf>
    <xf numFmtId="0" fontId="11" fillId="16" borderId="8" xfId="3" applyFont="1" applyFill="1" applyBorder="1"/>
    <xf numFmtId="0" fontId="22" fillId="16" borderId="8" xfId="3" applyFont="1" applyFill="1" applyBorder="1" applyAlignment="1">
      <alignment horizontal="center" vertical="center" wrapText="1"/>
    </xf>
    <xf numFmtId="188" fontId="11" fillId="0" borderId="13" xfId="6" applyFont="1" applyFill="1" applyBorder="1" applyAlignment="1">
      <alignment horizontal="center" vertical="top" wrapText="1"/>
    </xf>
    <xf numFmtId="2" fontId="11" fillId="0" borderId="13" xfId="3" applyNumberFormat="1" applyFont="1" applyBorder="1" applyAlignment="1">
      <alignment horizontal="center" vertical="top" wrapText="1"/>
    </xf>
    <xf numFmtId="0" fontId="31" fillId="14" borderId="8" xfId="3" applyFont="1" applyFill="1" applyBorder="1" applyAlignment="1">
      <alignment horizontal="center" vertical="top"/>
    </xf>
    <xf numFmtId="0" fontId="22" fillId="16" borderId="10" xfId="3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9" xfId="3" applyFont="1" applyBorder="1" applyAlignment="1">
      <alignment horizontal="left" vertical="top"/>
    </xf>
    <xf numFmtId="0" fontId="1" fillId="0" borderId="10" xfId="3" applyFont="1" applyBorder="1" applyAlignment="1">
      <alignment horizontal="left" vertical="top"/>
    </xf>
    <xf numFmtId="0" fontId="11" fillId="0" borderId="10" xfId="3" applyFont="1" applyBorder="1" applyAlignment="1">
      <alignment horizontal="left" vertical="center" wrapText="1"/>
    </xf>
    <xf numFmtId="0" fontId="11" fillId="0" borderId="10" xfId="3" applyFont="1" applyBorder="1" applyAlignment="1">
      <alignment horizontal="center" vertical="top" wrapText="1"/>
    </xf>
    <xf numFmtId="0" fontId="1" fillId="0" borderId="8" xfId="3" applyFont="1" applyBorder="1" applyAlignment="1">
      <alignment wrapText="1"/>
    </xf>
    <xf numFmtId="0" fontId="11" fillId="0" borderId="7" xfId="3" applyFont="1" applyBorder="1" applyAlignment="1">
      <alignment horizontal="left" vertical="top" wrapText="1"/>
    </xf>
    <xf numFmtId="3" fontId="32" fillId="3" borderId="8" xfId="0" applyNumberFormat="1" applyFont="1" applyFill="1" applyBorder="1" applyAlignment="1">
      <alignment horizontal="center" vertical="top" wrapText="1"/>
    </xf>
    <xf numFmtId="0" fontId="10" fillId="16" borderId="9" xfId="3" applyFont="1" applyFill="1" applyBorder="1" applyAlignment="1">
      <alignment horizontal="center" vertical="center" wrapText="1"/>
    </xf>
    <xf numFmtId="2" fontId="1" fillId="12" borderId="8" xfId="0" applyNumberFormat="1" applyFont="1" applyFill="1" applyBorder="1" applyAlignment="1">
      <alignment horizontal="center" vertical="top" wrapText="1"/>
    </xf>
    <xf numFmtId="0" fontId="16" fillId="0" borderId="9" xfId="3" applyFont="1" applyBorder="1" applyAlignment="1">
      <alignment horizontal="left" vertical="top" wrapText="1"/>
    </xf>
    <xf numFmtId="0" fontId="16" fillId="0" borderId="10" xfId="3" applyFont="1" applyBorder="1" applyAlignment="1">
      <alignment horizontal="left" vertical="top" wrapText="1"/>
    </xf>
    <xf numFmtId="0" fontId="1" fillId="0" borderId="9" xfId="3" applyFont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center" vertical="top" wrapText="1"/>
    </xf>
    <xf numFmtId="4" fontId="1" fillId="12" borderId="8" xfId="0" applyNumberFormat="1" applyFont="1" applyFill="1" applyBorder="1" applyAlignment="1">
      <alignment horizontal="center" vertical="top" wrapText="1"/>
    </xf>
    <xf numFmtId="0" fontId="1" fillId="0" borderId="9" xfId="3" applyFont="1" applyBorder="1" applyAlignment="1">
      <alignment vertical="top" wrapText="1"/>
    </xf>
    <xf numFmtId="0" fontId="10" fillId="0" borderId="6" xfId="3" applyFont="1" applyBorder="1" applyAlignment="1">
      <alignment horizontal="left" vertical="top" wrapText="1"/>
    </xf>
    <xf numFmtId="0" fontId="10" fillId="0" borderId="10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1" fillId="4" borderId="10" xfId="3" applyFont="1" applyFill="1" applyBorder="1"/>
    <xf numFmtId="0" fontId="11" fillId="4" borderId="8" xfId="3" applyFont="1" applyFill="1" applyBorder="1"/>
    <xf numFmtId="0" fontId="1" fillId="0" borderId="9" xfId="3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3" applyFont="1" applyBorder="1" applyAlignment="1">
      <alignment vertical="center" wrapText="1"/>
    </xf>
    <xf numFmtId="0" fontId="1" fillId="0" borderId="8" xfId="3" applyFont="1" applyBorder="1" applyAlignment="1">
      <alignment vertical="top" wrapText="1"/>
    </xf>
    <xf numFmtId="0" fontId="11" fillId="4" borderId="8" xfId="3" applyFont="1" applyFill="1" applyBorder="1" applyAlignment="1">
      <alignment wrapText="1"/>
    </xf>
    <xf numFmtId="188" fontId="1" fillId="3" borderId="8" xfId="6" applyFont="1" applyFill="1" applyBorder="1" applyAlignment="1">
      <alignment horizontal="center" vertical="top" wrapText="1"/>
    </xf>
    <xf numFmtId="188" fontId="1" fillId="13" borderId="8" xfId="6" applyFont="1" applyFill="1" applyBorder="1" applyAlignment="1">
      <alignment horizontal="center" vertical="top"/>
    </xf>
    <xf numFmtId="0" fontId="11" fillId="4" borderId="10" xfId="3" applyFont="1" applyFill="1" applyBorder="1" applyAlignment="1">
      <alignment vertical="top" wrapText="1"/>
    </xf>
    <xf numFmtId="0" fontId="11" fillId="4" borderId="9" xfId="3" applyFont="1" applyFill="1" applyBorder="1" applyAlignment="1">
      <alignment wrapText="1"/>
    </xf>
    <xf numFmtId="0" fontId="11" fillId="4" borderId="9" xfId="3" applyFont="1" applyFill="1" applyBorder="1" applyAlignment="1">
      <alignment vertical="top" wrapText="1"/>
    </xf>
    <xf numFmtId="0" fontId="30" fillId="4" borderId="10" xfId="3" applyFont="1" applyFill="1" applyBorder="1" applyAlignment="1">
      <alignment horizontal="left" vertical="top" wrapText="1"/>
    </xf>
    <xf numFmtId="0" fontId="32" fillId="0" borderId="8" xfId="3" applyFont="1" applyBorder="1" applyAlignment="1">
      <alignment vertical="top" wrapText="1"/>
    </xf>
    <xf numFmtId="0" fontId="1" fillId="0" borderId="8" xfId="3" applyFont="1" applyBorder="1" applyAlignment="1">
      <alignment horizontal="left" vertical="top" wrapText="1"/>
    </xf>
    <xf numFmtId="0" fontId="11" fillId="4" borderId="8" xfId="3" applyFont="1" applyFill="1" applyBorder="1" applyAlignment="1">
      <alignment vertical="top" wrapText="1"/>
    </xf>
    <xf numFmtId="188" fontId="11" fillId="13" borderId="8" xfId="7" applyFont="1" applyFill="1" applyBorder="1" applyAlignment="1">
      <alignment horizontal="center" vertical="top"/>
    </xf>
    <xf numFmtId="0" fontId="11" fillId="0" borderId="8" xfId="3" applyFont="1" applyBorder="1" applyAlignment="1">
      <alignment vertical="top" wrapText="1"/>
    </xf>
    <xf numFmtId="188" fontId="1" fillId="3" borderId="10" xfId="7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8" xfId="3" applyFont="1" applyBorder="1" applyAlignment="1">
      <alignment horizontal="justify" vertical="top" wrapText="1"/>
    </xf>
    <xf numFmtId="0" fontId="11" fillId="4" borderId="7" xfId="3" applyFont="1" applyFill="1" applyBorder="1" applyAlignment="1">
      <alignment vertical="top" wrapText="1"/>
    </xf>
    <xf numFmtId="3" fontId="33" fillId="3" borderId="8" xfId="3" applyNumberFormat="1" applyFont="1" applyFill="1" applyBorder="1" applyAlignment="1">
      <alignment horizontal="center" vertical="top" wrapText="1"/>
    </xf>
    <xf numFmtId="0" fontId="11" fillId="16" borderId="10" xfId="3" applyFont="1" applyFill="1" applyBorder="1" applyAlignment="1">
      <alignment vertical="top"/>
    </xf>
    <xf numFmtId="0" fontId="10" fillId="16" borderId="9" xfId="3" applyFont="1" applyFill="1" applyBorder="1" applyAlignment="1">
      <alignment horizontal="center" vertical="top" wrapText="1"/>
    </xf>
    <xf numFmtId="3" fontId="33" fillId="13" borderId="8" xfId="3" applyNumberFormat="1" applyFont="1" applyFill="1" applyBorder="1" applyAlignment="1">
      <alignment horizontal="center" vertical="top" wrapText="1"/>
    </xf>
    <xf numFmtId="0" fontId="22" fillId="16" borderId="10" xfId="3" applyFont="1" applyFill="1" applyBorder="1" applyAlignment="1">
      <alignment horizontal="center" vertical="top" wrapText="1"/>
    </xf>
    <xf numFmtId="0" fontId="33" fillId="13" borderId="8" xfId="3" applyFont="1" applyFill="1" applyBorder="1" applyAlignment="1">
      <alignment horizontal="center" vertical="top" wrapText="1"/>
    </xf>
    <xf numFmtId="0" fontId="1" fillId="0" borderId="12" xfId="3" applyFont="1" applyBorder="1" applyAlignment="1">
      <alignment horizontal="justify" vertical="top" wrapText="1"/>
    </xf>
    <xf numFmtId="0" fontId="11" fillId="4" borderId="8" xfId="3" applyFont="1" applyFill="1" applyBorder="1" applyAlignment="1">
      <alignment horizontal="left" vertical="top" wrapText="1"/>
    </xf>
    <xf numFmtId="0" fontId="1" fillId="17" borderId="15" xfId="0" applyFont="1" applyFill="1" applyBorder="1" applyAlignment="1">
      <alignment vertical="top" wrapText="1"/>
    </xf>
    <xf numFmtId="0" fontId="1" fillId="17" borderId="18" xfId="0" applyFont="1" applyFill="1" applyBorder="1" applyAlignment="1">
      <alignment vertical="top" wrapText="1"/>
    </xf>
    <xf numFmtId="0" fontId="1" fillId="0" borderId="8" xfId="3" applyFont="1" applyBorder="1" applyAlignment="1">
      <alignment vertical="top"/>
    </xf>
    <xf numFmtId="0" fontId="11" fillId="11" borderId="8" xfId="3" applyFont="1" applyFill="1" applyBorder="1"/>
    <xf numFmtId="0" fontId="1" fillId="17" borderId="9" xfId="0" applyFont="1" applyFill="1" applyBorder="1" applyAlignment="1">
      <alignment vertical="top" wrapText="1"/>
    </xf>
    <xf numFmtId="0" fontId="1" fillId="17" borderId="10" xfId="0" applyFont="1" applyFill="1" applyBorder="1" applyAlignment="1">
      <alignment vertical="top" wrapText="1"/>
    </xf>
    <xf numFmtId="0" fontId="15" fillId="4" borderId="10" xfId="3" applyFont="1" applyFill="1" applyBorder="1" applyAlignment="1">
      <alignment horizontal="center" vertical="top"/>
    </xf>
    <xf numFmtId="0" fontId="15" fillId="4" borderId="8" xfId="3" applyFont="1" applyFill="1" applyBorder="1" applyAlignment="1">
      <alignment horizontal="center" vertical="top"/>
    </xf>
    <xf numFmtId="0" fontId="11" fillId="4" borderId="10" xfId="3" applyFont="1" applyFill="1" applyBorder="1" applyAlignment="1">
      <alignment wrapText="1"/>
    </xf>
    <xf numFmtId="0" fontId="1" fillId="0" borderId="19" xfId="0" applyFont="1" applyBorder="1" applyAlignment="1">
      <alignment vertical="top" wrapText="1"/>
    </xf>
    <xf numFmtId="188" fontId="19" fillId="3" borderId="8" xfId="6" applyFont="1" applyFill="1" applyBorder="1" applyAlignment="1">
      <alignment horizontal="center" vertical="top" wrapText="1"/>
    </xf>
    <xf numFmtId="0" fontId="11" fillId="0" borderId="8" xfId="3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1" fillId="0" borderId="8" xfId="3" applyFont="1" applyBorder="1" applyAlignment="1">
      <alignment horizontal="center" vertical="top" wrapText="1"/>
    </xf>
    <xf numFmtId="188" fontId="32" fillId="3" borderId="10" xfId="6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17" borderId="8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0" fillId="11" borderId="1" xfId="3" applyFont="1" applyFill="1" applyBorder="1" applyAlignment="1">
      <alignment horizontal="left" vertical="center" wrapText="1"/>
    </xf>
    <xf numFmtId="0" fontId="10" fillId="11" borderId="3" xfId="3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top" wrapText="1"/>
    </xf>
    <xf numFmtId="0" fontId="30" fillId="4" borderId="9" xfId="0" applyFont="1" applyFill="1" applyBorder="1" applyAlignment="1">
      <alignment vertical="top" wrapText="1"/>
    </xf>
    <xf numFmtId="0" fontId="30" fillId="4" borderId="10" xfId="0" applyFont="1" applyFill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4" borderId="8" xfId="0" applyFont="1" applyFill="1" applyBorder="1" applyAlignment="1">
      <alignment vertical="top" wrapText="1"/>
    </xf>
    <xf numFmtId="0" fontId="11" fillId="18" borderId="8" xfId="3" applyFont="1" applyFill="1" applyBorder="1" applyAlignment="1">
      <alignment horizontal="center" vertical="top"/>
    </xf>
    <xf numFmtId="0" fontId="10" fillId="18" borderId="9" xfId="3" applyFont="1" applyFill="1" applyBorder="1" applyAlignment="1">
      <alignment vertical="top"/>
    </xf>
    <xf numFmtId="0" fontId="10" fillId="18" borderId="10" xfId="3" applyFont="1" applyFill="1" applyBorder="1" applyAlignment="1">
      <alignment horizontal="center" vertical="top"/>
    </xf>
    <xf numFmtId="0" fontId="10" fillId="18" borderId="8" xfId="3" applyFont="1" applyFill="1" applyBorder="1" applyAlignment="1">
      <alignment vertical="top"/>
    </xf>
    <xf numFmtId="0" fontId="10" fillId="19" borderId="8" xfId="3" applyFont="1" applyFill="1" applyBorder="1" applyAlignment="1">
      <alignment vertical="top"/>
    </xf>
    <xf numFmtId="0" fontId="10" fillId="19" borderId="8" xfId="3" applyFont="1" applyFill="1" applyBorder="1" applyAlignment="1">
      <alignment horizontal="center" vertical="top"/>
    </xf>
    <xf numFmtId="0" fontId="10" fillId="20" borderId="8" xfId="3" applyFont="1" applyFill="1" applyBorder="1" applyAlignment="1">
      <alignment vertical="top"/>
    </xf>
    <xf numFmtId="0" fontId="10" fillId="20" borderId="8" xfId="3" applyFont="1" applyFill="1" applyBorder="1" applyAlignment="1">
      <alignment horizontal="center" vertical="top"/>
    </xf>
    <xf numFmtId="2" fontId="10" fillId="18" borderId="8" xfId="3" applyNumberFormat="1" applyFont="1" applyFill="1" applyBorder="1" applyAlignment="1">
      <alignment horizontal="center" vertical="top"/>
    </xf>
    <xf numFmtId="0" fontId="10" fillId="15" borderId="8" xfId="3" applyFont="1" applyFill="1" applyBorder="1" applyAlignment="1">
      <alignment horizontal="center" vertical="top"/>
    </xf>
    <xf numFmtId="0" fontId="11" fillId="4" borderId="0" xfId="3" applyFont="1" applyFill="1" applyAlignment="1">
      <alignment vertical="top"/>
    </xf>
    <xf numFmtId="0" fontId="11" fillId="4" borderId="0" xfId="3" applyFont="1" applyFill="1" applyAlignment="1">
      <alignment horizontal="center"/>
    </xf>
    <xf numFmtId="0" fontId="11" fillId="0" borderId="0" xfId="3" applyFont="1" applyAlignment="1">
      <alignment vertical="top"/>
    </xf>
    <xf numFmtId="0" fontId="11" fillId="0" borderId="0" xfId="3" applyFont="1"/>
    <xf numFmtId="0" fontId="11" fillId="4" borderId="0" xfId="4" applyFont="1" applyFill="1" applyAlignment="1">
      <alignment horizontal="center"/>
    </xf>
    <xf numFmtId="0" fontId="11" fillId="4" borderId="0" xfId="4" applyFont="1" applyFill="1"/>
    <xf numFmtId="0" fontId="11" fillId="0" borderId="0" xfId="4" applyFont="1" applyAlignment="1">
      <alignment vertical="top"/>
    </xf>
    <xf numFmtId="0" fontId="11" fillId="0" borderId="0" xfId="4" applyFont="1"/>
  </cellXfs>
  <cellStyles count="8">
    <cellStyle name="Normal" xfId="0" builtinId="0"/>
    <cellStyle name="Normal 4" xfId="5"/>
    <cellStyle name="เครื่องหมายจุลภาค 2" xfId="7"/>
    <cellStyle name="จุลภาค 2 8" xfId="6"/>
    <cellStyle name="ปกติ 2" xfId="1"/>
    <cellStyle name="ปกติ 2 2 3 2" xfId="3"/>
    <cellStyle name="ปกติ 2 5" xfId="2"/>
    <cellStyle name="ปกติ 2 6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6305550" y="6374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6305550" y="6433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6305550" y="6492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6305550" y="65217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6305550" y="66398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6305550" y="6787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6305550" y="687609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6305550" y="6964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6305550" y="70532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6305550" y="6433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6305550" y="6492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154828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07303"/>
        </a:xfrm>
        <a:prstGeom prst="rect">
          <a:avLst/>
        </a:prstGeom>
      </xdr:spPr>
    </xdr:pic>
    <xdr:clientData/>
  </xdr:two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6305550" y="6374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6305550" y="6433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6305550" y="6492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6305550" y="65217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6305550" y="66398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6305550" y="67875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6305550" y="687609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6305550" y="69646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6305550" y="705326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6305550" y="6433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6305550" y="6492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96</xdr:row>
      <xdr:rowOff>295275</xdr:rowOff>
    </xdr:from>
    <xdr:ext cx="65" cy="17023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3472B0D-0B3E-41BC-9955-A2D98A3DCC00}"/>
            </a:ext>
          </a:extLst>
        </xdr:cNvPr>
        <xdr:cNvSpPr txBox="1"/>
      </xdr:nvSpPr>
      <xdr:spPr>
        <a:xfrm>
          <a:off x="630555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15CAAE0-B6C7-4088-B873-EB050FF41A67}"/>
            </a:ext>
          </a:extLst>
        </xdr:cNvPr>
        <xdr:cNvSpPr txBox="1"/>
      </xdr:nvSpPr>
      <xdr:spPr>
        <a:xfrm>
          <a:off x="6305550" y="6078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DD5BC5E-75CB-4307-916C-4BA0F0DC0E42}"/>
            </a:ext>
          </a:extLst>
        </xdr:cNvPr>
        <xdr:cNvSpPr txBox="1"/>
      </xdr:nvSpPr>
      <xdr:spPr>
        <a:xfrm>
          <a:off x="6305550" y="61379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99</xdr:row>
      <xdr:rowOff>295275</xdr:rowOff>
    </xdr:from>
    <xdr:ext cx="65" cy="17023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F8F4F90-9F22-46E8-A1E2-32E9BD44CCBE}"/>
            </a:ext>
          </a:extLst>
        </xdr:cNvPr>
        <xdr:cNvSpPr txBox="1"/>
      </xdr:nvSpPr>
      <xdr:spPr>
        <a:xfrm>
          <a:off x="6305550" y="61969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100</xdr:row>
      <xdr:rowOff>295275</xdr:rowOff>
    </xdr:from>
    <xdr:ext cx="65" cy="17023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D820017-55FF-4B13-9D69-5CADC66A64AC}"/>
            </a:ext>
          </a:extLst>
        </xdr:cNvPr>
        <xdr:cNvSpPr txBox="1"/>
      </xdr:nvSpPr>
      <xdr:spPr>
        <a:xfrm>
          <a:off x="6305550" y="6256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101</xdr:row>
      <xdr:rowOff>295275</xdr:rowOff>
    </xdr:from>
    <xdr:ext cx="65" cy="17023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57984B9-6E11-41C1-9BDF-7EEDD899DBEF}"/>
            </a:ext>
          </a:extLst>
        </xdr:cNvPr>
        <xdr:cNvSpPr txBox="1"/>
      </xdr:nvSpPr>
      <xdr:spPr>
        <a:xfrm>
          <a:off x="6305550" y="63150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49A92F7-F633-42F4-9E8C-916409321704}"/>
            </a:ext>
          </a:extLst>
        </xdr:cNvPr>
        <xdr:cNvSpPr txBox="1"/>
      </xdr:nvSpPr>
      <xdr:spPr>
        <a:xfrm>
          <a:off x="6305550" y="6374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CF8E5180-3483-4CD2-97D4-C832A3756835}"/>
            </a:ext>
          </a:extLst>
        </xdr:cNvPr>
        <xdr:cNvSpPr txBox="1"/>
      </xdr:nvSpPr>
      <xdr:spPr>
        <a:xfrm>
          <a:off x="6305550" y="6433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1FA444-854C-42E6-9DF1-80879F0B9B9B}"/>
            </a:ext>
          </a:extLst>
        </xdr:cNvPr>
        <xdr:cNvSpPr txBox="1"/>
      </xdr:nvSpPr>
      <xdr:spPr>
        <a:xfrm>
          <a:off x="6305550" y="6492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06A5B-FBEF-4250-B32A-B479EF965F8A}"/>
            </a:ext>
          </a:extLst>
        </xdr:cNvPr>
        <xdr:cNvSpPr txBox="1"/>
      </xdr:nvSpPr>
      <xdr:spPr>
        <a:xfrm>
          <a:off x="6305550" y="6078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CBC943C-F258-4BDF-90C9-C20305AE298D}"/>
            </a:ext>
          </a:extLst>
        </xdr:cNvPr>
        <xdr:cNvSpPr txBox="1"/>
      </xdr:nvSpPr>
      <xdr:spPr>
        <a:xfrm>
          <a:off x="6305550" y="61379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96</xdr:row>
      <xdr:rowOff>295275</xdr:rowOff>
    </xdr:from>
    <xdr:ext cx="65" cy="17023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E65A7DE-D58B-4FA5-B1DE-27CB3AE95B26}"/>
            </a:ext>
          </a:extLst>
        </xdr:cNvPr>
        <xdr:cNvSpPr txBox="1"/>
      </xdr:nvSpPr>
      <xdr:spPr>
        <a:xfrm>
          <a:off x="630555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4CEAE2C9-14F0-4C5E-9C49-7489F0D32639}"/>
            </a:ext>
          </a:extLst>
        </xdr:cNvPr>
        <xdr:cNvSpPr txBox="1"/>
      </xdr:nvSpPr>
      <xdr:spPr>
        <a:xfrm>
          <a:off x="6305550" y="6078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300EA92-3B0A-4A38-B3C3-B5D72E4A155A}"/>
            </a:ext>
          </a:extLst>
        </xdr:cNvPr>
        <xdr:cNvSpPr txBox="1"/>
      </xdr:nvSpPr>
      <xdr:spPr>
        <a:xfrm>
          <a:off x="6305550" y="61379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99</xdr:row>
      <xdr:rowOff>295275</xdr:rowOff>
    </xdr:from>
    <xdr:ext cx="65" cy="17023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513CC78-CE21-44EE-85C5-A74C62AF8241}"/>
            </a:ext>
          </a:extLst>
        </xdr:cNvPr>
        <xdr:cNvSpPr txBox="1"/>
      </xdr:nvSpPr>
      <xdr:spPr>
        <a:xfrm>
          <a:off x="6305550" y="61969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100</xdr:row>
      <xdr:rowOff>295275</xdr:rowOff>
    </xdr:from>
    <xdr:ext cx="65" cy="17023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732DA50-E477-413F-92ED-A6B8B498006B}"/>
            </a:ext>
          </a:extLst>
        </xdr:cNvPr>
        <xdr:cNvSpPr txBox="1"/>
      </xdr:nvSpPr>
      <xdr:spPr>
        <a:xfrm>
          <a:off x="6305550" y="6256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101</xdr:row>
      <xdr:rowOff>295275</xdr:rowOff>
    </xdr:from>
    <xdr:ext cx="65" cy="17023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7E32EAC-7828-4894-94BF-B40F62797387}"/>
            </a:ext>
          </a:extLst>
        </xdr:cNvPr>
        <xdr:cNvSpPr txBox="1"/>
      </xdr:nvSpPr>
      <xdr:spPr>
        <a:xfrm>
          <a:off x="6305550" y="63150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7F92740B-F8CF-407D-9D3F-33FACA0D3B30}"/>
            </a:ext>
          </a:extLst>
        </xdr:cNvPr>
        <xdr:cNvSpPr txBox="1"/>
      </xdr:nvSpPr>
      <xdr:spPr>
        <a:xfrm>
          <a:off x="6305550" y="6374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AB27BDC-6ACD-4E24-884A-A1680EB7AC48}"/>
            </a:ext>
          </a:extLst>
        </xdr:cNvPr>
        <xdr:cNvSpPr txBox="1"/>
      </xdr:nvSpPr>
      <xdr:spPr>
        <a:xfrm>
          <a:off x="6305550" y="6433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64CF88-9C94-4855-A25B-D7CF8E433D57}"/>
            </a:ext>
          </a:extLst>
        </xdr:cNvPr>
        <xdr:cNvSpPr txBox="1"/>
      </xdr:nvSpPr>
      <xdr:spPr>
        <a:xfrm>
          <a:off x="6305550" y="6492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B0B6A1E-D1CA-488F-9C39-5ADE91A73F6A}"/>
            </a:ext>
          </a:extLst>
        </xdr:cNvPr>
        <xdr:cNvSpPr txBox="1"/>
      </xdr:nvSpPr>
      <xdr:spPr>
        <a:xfrm>
          <a:off x="6305550" y="6078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62A9666-F354-4769-93DF-8064EF892657}"/>
            </a:ext>
          </a:extLst>
        </xdr:cNvPr>
        <xdr:cNvSpPr txBox="1"/>
      </xdr:nvSpPr>
      <xdr:spPr>
        <a:xfrm>
          <a:off x="6305550" y="61379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7F920055-2EEC-489E-812F-BBF9EF9F6BDF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48" name="TextBox 2">
          <a:extLst>
            <a:ext uri="{FF2B5EF4-FFF2-40B4-BE49-F238E27FC236}">
              <a16:creationId xmlns:a16="http://schemas.microsoft.com/office/drawing/2014/main" id="{F18CC568-291F-47AB-9521-3BDA8097FA38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D17C4479-71A0-447B-AFA0-B8D5EF030201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0" name="TextBox 4">
          <a:extLst>
            <a:ext uri="{FF2B5EF4-FFF2-40B4-BE49-F238E27FC236}">
              <a16:creationId xmlns:a16="http://schemas.microsoft.com/office/drawing/2014/main" id="{9E24B353-3C65-4710-A728-D730D7C05E8F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76659B9F-BE31-4B10-8CF4-C59CB1A950BF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2" name="TextBox 6">
          <a:extLst>
            <a:ext uri="{FF2B5EF4-FFF2-40B4-BE49-F238E27FC236}">
              <a16:creationId xmlns:a16="http://schemas.microsoft.com/office/drawing/2014/main" id="{54CBFB73-031E-4F5A-9E96-EAE79240255C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3" name="TextBox 7">
          <a:extLst>
            <a:ext uri="{FF2B5EF4-FFF2-40B4-BE49-F238E27FC236}">
              <a16:creationId xmlns:a16="http://schemas.microsoft.com/office/drawing/2014/main" id="{96743772-9711-4B46-85E9-2E8C76063ED8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4" name="TextBox 8">
          <a:extLst>
            <a:ext uri="{FF2B5EF4-FFF2-40B4-BE49-F238E27FC236}">
              <a16:creationId xmlns:a16="http://schemas.microsoft.com/office/drawing/2014/main" id="{8C0A7B14-075A-4112-ABB9-D257AA1EF350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5" name="TextBox 9">
          <a:extLst>
            <a:ext uri="{FF2B5EF4-FFF2-40B4-BE49-F238E27FC236}">
              <a16:creationId xmlns:a16="http://schemas.microsoft.com/office/drawing/2014/main" id="{8291CC9F-7113-4321-9358-A768C3B793CC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6" name="TextBox 10">
          <a:extLst>
            <a:ext uri="{FF2B5EF4-FFF2-40B4-BE49-F238E27FC236}">
              <a16:creationId xmlns:a16="http://schemas.microsoft.com/office/drawing/2014/main" id="{171CA32C-433C-4CCA-AA56-B29914E441F6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0</xdr:rowOff>
    </xdr:from>
    <xdr:ext cx="65" cy="170239"/>
    <xdr:sp macro="" textlink="">
      <xdr:nvSpPr>
        <xdr:cNvPr id="57" name="TextBox 11">
          <a:extLst>
            <a:ext uri="{FF2B5EF4-FFF2-40B4-BE49-F238E27FC236}">
              <a16:creationId xmlns:a16="http://schemas.microsoft.com/office/drawing/2014/main" id="{4E297458-6713-4A1E-804D-687368672FAD}"/>
            </a:ext>
          </a:extLst>
        </xdr:cNvPr>
        <xdr:cNvSpPr txBox="1"/>
      </xdr:nvSpPr>
      <xdr:spPr>
        <a:xfrm>
          <a:off x="6305550" y="862774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129</xdr:row>
      <xdr:rowOff>295275</xdr:rowOff>
    </xdr:from>
    <xdr:ext cx="65" cy="170239"/>
    <xdr:sp macro="" textlink="">
      <xdr:nvSpPr>
        <xdr:cNvPr id="58" name="TextBox 12">
          <a:extLst>
            <a:ext uri="{FF2B5EF4-FFF2-40B4-BE49-F238E27FC236}">
              <a16:creationId xmlns:a16="http://schemas.microsoft.com/office/drawing/2014/main" id="{B395DF48-031F-4201-AAC6-3EB071BB74F5}"/>
            </a:ext>
          </a:extLst>
        </xdr:cNvPr>
        <xdr:cNvSpPr txBox="1"/>
      </xdr:nvSpPr>
      <xdr:spPr>
        <a:xfrm>
          <a:off x="6305550" y="865727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130</xdr:row>
      <xdr:rowOff>295275</xdr:rowOff>
    </xdr:from>
    <xdr:ext cx="65" cy="170239"/>
    <xdr:sp macro="" textlink="">
      <xdr:nvSpPr>
        <xdr:cNvPr id="59" name="TextBox 13">
          <a:extLst>
            <a:ext uri="{FF2B5EF4-FFF2-40B4-BE49-F238E27FC236}">
              <a16:creationId xmlns:a16="http://schemas.microsoft.com/office/drawing/2014/main" id="{BE712996-D628-44A2-AE37-50B4BDED7B55}"/>
            </a:ext>
          </a:extLst>
        </xdr:cNvPr>
        <xdr:cNvSpPr txBox="1"/>
      </xdr:nvSpPr>
      <xdr:spPr>
        <a:xfrm>
          <a:off x="6305550" y="87182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131</xdr:row>
      <xdr:rowOff>295275</xdr:rowOff>
    </xdr:from>
    <xdr:ext cx="65" cy="170239"/>
    <xdr:sp macro="" textlink="">
      <xdr:nvSpPr>
        <xdr:cNvPr id="60" name="TextBox 14">
          <a:extLst>
            <a:ext uri="{FF2B5EF4-FFF2-40B4-BE49-F238E27FC236}">
              <a16:creationId xmlns:a16="http://schemas.microsoft.com/office/drawing/2014/main" id="{813D3B48-27B9-47B2-BF27-F650042E0C19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130</xdr:row>
      <xdr:rowOff>295275</xdr:rowOff>
    </xdr:from>
    <xdr:ext cx="65" cy="170239"/>
    <xdr:sp macro="" textlink="">
      <xdr:nvSpPr>
        <xdr:cNvPr id="61" name="TextBox 21">
          <a:extLst>
            <a:ext uri="{FF2B5EF4-FFF2-40B4-BE49-F238E27FC236}">
              <a16:creationId xmlns:a16="http://schemas.microsoft.com/office/drawing/2014/main" id="{B828DA7C-35D8-436C-B5E1-1A69BE7B8B81}"/>
            </a:ext>
          </a:extLst>
        </xdr:cNvPr>
        <xdr:cNvSpPr txBox="1"/>
      </xdr:nvSpPr>
      <xdr:spPr>
        <a:xfrm>
          <a:off x="6305550" y="87182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131</xdr:row>
      <xdr:rowOff>295275</xdr:rowOff>
    </xdr:from>
    <xdr:ext cx="65" cy="170239"/>
    <xdr:sp macro="" textlink="">
      <xdr:nvSpPr>
        <xdr:cNvPr id="62" name="TextBox 22">
          <a:extLst>
            <a:ext uri="{FF2B5EF4-FFF2-40B4-BE49-F238E27FC236}">
              <a16:creationId xmlns:a16="http://schemas.microsoft.com/office/drawing/2014/main" id="{9E0A71E9-E05E-4E23-B372-C6F05BD0197C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96</xdr:row>
      <xdr:rowOff>295275</xdr:rowOff>
    </xdr:from>
    <xdr:ext cx="65" cy="17023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6836FDFC-9446-4899-937B-BDABA59084A9}"/>
            </a:ext>
          </a:extLst>
        </xdr:cNvPr>
        <xdr:cNvSpPr txBox="1"/>
      </xdr:nvSpPr>
      <xdr:spPr>
        <a:xfrm>
          <a:off x="630555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7141A82-A43B-420A-A5F7-249E6878B5FB}"/>
            </a:ext>
          </a:extLst>
        </xdr:cNvPr>
        <xdr:cNvSpPr txBox="1"/>
      </xdr:nvSpPr>
      <xdr:spPr>
        <a:xfrm>
          <a:off x="6305550" y="6078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6FC3F18-50DD-4A04-835F-361560710843}"/>
            </a:ext>
          </a:extLst>
        </xdr:cNvPr>
        <xdr:cNvSpPr txBox="1"/>
      </xdr:nvSpPr>
      <xdr:spPr>
        <a:xfrm>
          <a:off x="6305550" y="61379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99</xdr:row>
      <xdr:rowOff>295275</xdr:rowOff>
    </xdr:from>
    <xdr:ext cx="65" cy="17023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CD19430-9A61-452C-AD06-479661CBC676}"/>
            </a:ext>
          </a:extLst>
        </xdr:cNvPr>
        <xdr:cNvSpPr txBox="1"/>
      </xdr:nvSpPr>
      <xdr:spPr>
        <a:xfrm>
          <a:off x="6305550" y="61969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100</xdr:row>
      <xdr:rowOff>295275</xdr:rowOff>
    </xdr:from>
    <xdr:ext cx="65" cy="17023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5BD15DB0-6C32-41FB-A405-9BF25B03285A}"/>
            </a:ext>
          </a:extLst>
        </xdr:cNvPr>
        <xdr:cNvSpPr txBox="1"/>
      </xdr:nvSpPr>
      <xdr:spPr>
        <a:xfrm>
          <a:off x="6305550" y="6256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101</xdr:row>
      <xdr:rowOff>295275</xdr:rowOff>
    </xdr:from>
    <xdr:ext cx="65" cy="17023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6A54E2EF-9137-4504-8377-804DCD913F2A}"/>
            </a:ext>
          </a:extLst>
        </xdr:cNvPr>
        <xdr:cNvSpPr txBox="1"/>
      </xdr:nvSpPr>
      <xdr:spPr>
        <a:xfrm>
          <a:off x="6305550" y="63150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A62BA17D-1F0F-42FD-8911-9BFBE6B9BD0C}"/>
            </a:ext>
          </a:extLst>
        </xdr:cNvPr>
        <xdr:cNvSpPr txBox="1"/>
      </xdr:nvSpPr>
      <xdr:spPr>
        <a:xfrm>
          <a:off x="6305550" y="6374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CB32B57C-6013-4EE7-884E-5590CC590F89}"/>
            </a:ext>
          </a:extLst>
        </xdr:cNvPr>
        <xdr:cNvSpPr txBox="1"/>
      </xdr:nvSpPr>
      <xdr:spPr>
        <a:xfrm>
          <a:off x="6305550" y="6433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10B392B-FCF7-4903-9465-BE98FE0B89E3}"/>
            </a:ext>
          </a:extLst>
        </xdr:cNvPr>
        <xdr:cNvSpPr txBox="1"/>
      </xdr:nvSpPr>
      <xdr:spPr>
        <a:xfrm>
          <a:off x="6305550" y="6492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AFFCC5FD-7D29-43B7-B77D-632688BBE439}"/>
            </a:ext>
          </a:extLst>
        </xdr:cNvPr>
        <xdr:cNvSpPr txBox="1"/>
      </xdr:nvSpPr>
      <xdr:spPr>
        <a:xfrm>
          <a:off x="6305550" y="6078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778230B7-6A0C-4972-8895-F3D7905A820B}"/>
            </a:ext>
          </a:extLst>
        </xdr:cNvPr>
        <xdr:cNvSpPr txBox="1"/>
      </xdr:nvSpPr>
      <xdr:spPr>
        <a:xfrm>
          <a:off x="6305550" y="61379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96</xdr:row>
      <xdr:rowOff>295275</xdr:rowOff>
    </xdr:from>
    <xdr:ext cx="65" cy="17023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13434AB-0419-450F-B4F5-C201D26A1458}"/>
            </a:ext>
          </a:extLst>
        </xdr:cNvPr>
        <xdr:cNvSpPr txBox="1"/>
      </xdr:nvSpPr>
      <xdr:spPr>
        <a:xfrm>
          <a:off x="6305550" y="60178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32E24FD4-B151-491C-BA7A-25EEA7675442}"/>
            </a:ext>
          </a:extLst>
        </xdr:cNvPr>
        <xdr:cNvSpPr txBox="1"/>
      </xdr:nvSpPr>
      <xdr:spPr>
        <a:xfrm>
          <a:off x="6305550" y="6078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286D262D-14FC-4720-818A-580A4448FD56}"/>
            </a:ext>
          </a:extLst>
        </xdr:cNvPr>
        <xdr:cNvSpPr txBox="1"/>
      </xdr:nvSpPr>
      <xdr:spPr>
        <a:xfrm>
          <a:off x="6305550" y="61379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99</xdr:row>
      <xdr:rowOff>295275</xdr:rowOff>
    </xdr:from>
    <xdr:ext cx="65" cy="17023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F89204C-9FC3-4E27-ADB5-75333B005F97}"/>
            </a:ext>
          </a:extLst>
        </xdr:cNvPr>
        <xdr:cNvSpPr txBox="1"/>
      </xdr:nvSpPr>
      <xdr:spPr>
        <a:xfrm>
          <a:off x="6305550" y="61969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100</xdr:row>
      <xdr:rowOff>295275</xdr:rowOff>
    </xdr:from>
    <xdr:ext cx="65" cy="17023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13E6EC1-4988-433B-A61A-0B3391FF4EFA}"/>
            </a:ext>
          </a:extLst>
        </xdr:cNvPr>
        <xdr:cNvSpPr txBox="1"/>
      </xdr:nvSpPr>
      <xdr:spPr>
        <a:xfrm>
          <a:off x="6305550" y="62560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101</xdr:row>
      <xdr:rowOff>295275</xdr:rowOff>
    </xdr:from>
    <xdr:ext cx="65" cy="17023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BC62E182-F0AD-47BB-BAF9-31F52421F8D6}"/>
            </a:ext>
          </a:extLst>
        </xdr:cNvPr>
        <xdr:cNvSpPr txBox="1"/>
      </xdr:nvSpPr>
      <xdr:spPr>
        <a:xfrm>
          <a:off x="6305550" y="63150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CF3E493D-7C34-4C4D-BC44-8BED711497CE}"/>
            </a:ext>
          </a:extLst>
        </xdr:cNvPr>
        <xdr:cNvSpPr txBox="1"/>
      </xdr:nvSpPr>
      <xdr:spPr>
        <a:xfrm>
          <a:off x="6305550" y="6374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B73C4D5-39B8-4070-A7B2-EF4334AD51B2}"/>
            </a:ext>
          </a:extLst>
        </xdr:cNvPr>
        <xdr:cNvSpPr txBox="1"/>
      </xdr:nvSpPr>
      <xdr:spPr>
        <a:xfrm>
          <a:off x="6305550" y="6433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24B88EC0-1B34-4D11-804D-CEDF88146FC8}"/>
            </a:ext>
          </a:extLst>
        </xdr:cNvPr>
        <xdr:cNvSpPr txBox="1"/>
      </xdr:nvSpPr>
      <xdr:spPr>
        <a:xfrm>
          <a:off x="6305550" y="64922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97</xdr:row>
      <xdr:rowOff>295275</xdr:rowOff>
    </xdr:from>
    <xdr:ext cx="65" cy="17023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923EC8AA-E5A5-4FAD-B2BE-23CCF0100E3B}"/>
            </a:ext>
          </a:extLst>
        </xdr:cNvPr>
        <xdr:cNvSpPr txBox="1"/>
      </xdr:nvSpPr>
      <xdr:spPr>
        <a:xfrm>
          <a:off x="6305550" y="60788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98</xdr:row>
      <xdr:rowOff>295275</xdr:rowOff>
    </xdr:from>
    <xdr:ext cx="65" cy="17023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A8A3120-D0A2-4B64-8A2F-966F8019C194}"/>
            </a:ext>
          </a:extLst>
        </xdr:cNvPr>
        <xdr:cNvSpPr txBox="1"/>
      </xdr:nvSpPr>
      <xdr:spPr>
        <a:xfrm>
          <a:off x="6305550" y="61379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7F237E6D-D5E2-4657-BA86-C0807C1ECD6C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86" name="TextBox 2">
          <a:extLst>
            <a:ext uri="{FF2B5EF4-FFF2-40B4-BE49-F238E27FC236}">
              <a16:creationId xmlns:a16="http://schemas.microsoft.com/office/drawing/2014/main" id="{0722C52D-0955-48E7-812A-04321C0BA430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CA89B1D9-F821-4A17-A29C-1E215858AE33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88" name="TextBox 4">
          <a:extLst>
            <a:ext uri="{FF2B5EF4-FFF2-40B4-BE49-F238E27FC236}">
              <a16:creationId xmlns:a16="http://schemas.microsoft.com/office/drawing/2014/main" id="{473E2691-1F73-4556-BF4A-412062A9444E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E4B0422B-EE70-466C-BA1D-744EFAA238EF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90" name="TextBox 6">
          <a:extLst>
            <a:ext uri="{FF2B5EF4-FFF2-40B4-BE49-F238E27FC236}">
              <a16:creationId xmlns:a16="http://schemas.microsoft.com/office/drawing/2014/main" id="{FD63B322-70F3-487F-9D9E-A074CBC26F9D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91" name="TextBox 7">
          <a:extLst>
            <a:ext uri="{FF2B5EF4-FFF2-40B4-BE49-F238E27FC236}">
              <a16:creationId xmlns:a16="http://schemas.microsoft.com/office/drawing/2014/main" id="{79C73D13-A764-4E1F-B595-72EB6B697DDE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92" name="TextBox 8">
          <a:extLst>
            <a:ext uri="{FF2B5EF4-FFF2-40B4-BE49-F238E27FC236}">
              <a16:creationId xmlns:a16="http://schemas.microsoft.com/office/drawing/2014/main" id="{DE7E7DE9-374D-459B-8771-CEC1FF413222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93" name="TextBox 9">
          <a:extLst>
            <a:ext uri="{FF2B5EF4-FFF2-40B4-BE49-F238E27FC236}">
              <a16:creationId xmlns:a16="http://schemas.microsoft.com/office/drawing/2014/main" id="{FB2A4655-E6FB-4853-BCBA-90EFDD17DC43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94" name="TextBox 10">
          <a:extLst>
            <a:ext uri="{FF2B5EF4-FFF2-40B4-BE49-F238E27FC236}">
              <a16:creationId xmlns:a16="http://schemas.microsoft.com/office/drawing/2014/main" id="{E3FC2A09-091E-46F5-A037-216756BBE590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0</xdr:rowOff>
    </xdr:from>
    <xdr:ext cx="65" cy="170239"/>
    <xdr:sp macro="" textlink="">
      <xdr:nvSpPr>
        <xdr:cNvPr id="95" name="TextBox 11">
          <a:extLst>
            <a:ext uri="{FF2B5EF4-FFF2-40B4-BE49-F238E27FC236}">
              <a16:creationId xmlns:a16="http://schemas.microsoft.com/office/drawing/2014/main" id="{9C4226A3-E2C0-442D-AABC-6FA584F13CAD}"/>
            </a:ext>
          </a:extLst>
        </xdr:cNvPr>
        <xdr:cNvSpPr txBox="1"/>
      </xdr:nvSpPr>
      <xdr:spPr>
        <a:xfrm>
          <a:off x="6305550" y="87791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132</xdr:row>
      <xdr:rowOff>295275</xdr:rowOff>
    </xdr:from>
    <xdr:ext cx="65" cy="170239"/>
    <xdr:sp macro="" textlink="">
      <xdr:nvSpPr>
        <xdr:cNvPr id="96" name="TextBox 12">
          <a:extLst>
            <a:ext uri="{FF2B5EF4-FFF2-40B4-BE49-F238E27FC236}">
              <a16:creationId xmlns:a16="http://schemas.microsoft.com/office/drawing/2014/main" id="{AC0E81FE-1078-4E3A-AE1D-83D785376606}"/>
            </a:ext>
          </a:extLst>
        </xdr:cNvPr>
        <xdr:cNvSpPr txBox="1"/>
      </xdr:nvSpPr>
      <xdr:spPr>
        <a:xfrm>
          <a:off x="6305550" y="88087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133</xdr:row>
      <xdr:rowOff>295275</xdr:rowOff>
    </xdr:from>
    <xdr:ext cx="65" cy="170239"/>
    <xdr:sp macro="" textlink="">
      <xdr:nvSpPr>
        <xdr:cNvPr id="97" name="TextBox 13">
          <a:extLst>
            <a:ext uri="{FF2B5EF4-FFF2-40B4-BE49-F238E27FC236}">
              <a16:creationId xmlns:a16="http://schemas.microsoft.com/office/drawing/2014/main" id="{D69E3DCD-7E6C-4065-AE5F-7FDB8F966A10}"/>
            </a:ext>
          </a:extLst>
        </xdr:cNvPr>
        <xdr:cNvSpPr txBox="1"/>
      </xdr:nvSpPr>
      <xdr:spPr>
        <a:xfrm>
          <a:off x="6305550" y="89001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134</xdr:row>
      <xdr:rowOff>295275</xdr:rowOff>
    </xdr:from>
    <xdr:ext cx="65" cy="170239"/>
    <xdr:sp macro="" textlink="">
      <xdr:nvSpPr>
        <xdr:cNvPr id="98" name="TextBox 14">
          <a:extLst>
            <a:ext uri="{FF2B5EF4-FFF2-40B4-BE49-F238E27FC236}">
              <a16:creationId xmlns:a16="http://schemas.microsoft.com/office/drawing/2014/main" id="{A05BB8D0-F409-46D0-881C-F1A2A7DD262C}"/>
            </a:ext>
          </a:extLst>
        </xdr:cNvPr>
        <xdr:cNvSpPr txBox="1"/>
      </xdr:nvSpPr>
      <xdr:spPr>
        <a:xfrm>
          <a:off x="6305550" y="898874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133</xdr:row>
      <xdr:rowOff>295275</xdr:rowOff>
    </xdr:from>
    <xdr:ext cx="65" cy="170239"/>
    <xdr:sp macro="" textlink="">
      <xdr:nvSpPr>
        <xdr:cNvPr id="99" name="TextBox 21">
          <a:extLst>
            <a:ext uri="{FF2B5EF4-FFF2-40B4-BE49-F238E27FC236}">
              <a16:creationId xmlns:a16="http://schemas.microsoft.com/office/drawing/2014/main" id="{03113E77-D37A-49D1-8AE8-2A0EC39DB023}"/>
            </a:ext>
          </a:extLst>
        </xdr:cNvPr>
        <xdr:cNvSpPr txBox="1"/>
      </xdr:nvSpPr>
      <xdr:spPr>
        <a:xfrm>
          <a:off x="6305550" y="89001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134</xdr:row>
      <xdr:rowOff>295275</xdr:rowOff>
    </xdr:from>
    <xdr:ext cx="65" cy="170239"/>
    <xdr:sp macro="" textlink="">
      <xdr:nvSpPr>
        <xdr:cNvPr id="100" name="TextBox 22">
          <a:extLst>
            <a:ext uri="{FF2B5EF4-FFF2-40B4-BE49-F238E27FC236}">
              <a16:creationId xmlns:a16="http://schemas.microsoft.com/office/drawing/2014/main" id="{8F6153CC-9C6D-4ED8-BA36-BFB234914FDE}"/>
            </a:ext>
          </a:extLst>
        </xdr:cNvPr>
        <xdr:cNvSpPr txBox="1"/>
      </xdr:nvSpPr>
      <xdr:spPr>
        <a:xfrm>
          <a:off x="6305550" y="898874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12%20&#3648;&#3604;&#3639;&#3629;&#3609;\&#3626;&#3606;&#3634;&#3610;&#3633;&#3609;&#3623;&#3636;&#3592;&#3633;&#3618;\&#3649;&#3610;&#3610;&#3648;&#3585;&#3655;&#3610;&#3618;&#3640;&#3607;&#3608;&#3624;&#3634;&#3626;&#3605;&#3619;&#3660;&#3607;&#3637;&#3656;%202-2565%20&#3619;&#3629;&#3610;%2012%20&#3648;&#3604;&#3639;&#3629;&#3609;%20&#3617;&#3637;&#3588;&#3629;&#3617;&#3648;&#3617;&#3609;&#3605;&#3660;%20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48;&#3585;&#3655;&#3610;&#3586;&#3657;&#3629;&#3617;&#3641;&#3621;\QA4.3_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"/>
      <sheetName val="รายละเอียด 2.5.1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T9">
            <v>7</v>
          </cell>
        </row>
        <row r="18">
          <cell r="T18">
            <v>8</v>
          </cell>
        </row>
        <row r="27">
          <cell r="T27">
            <v>8</v>
          </cell>
        </row>
        <row r="36">
          <cell r="T36">
            <v>7</v>
          </cell>
        </row>
        <row r="45">
          <cell r="T45">
            <v>8</v>
          </cell>
        </row>
        <row r="54">
          <cell r="T54">
            <v>5</v>
          </cell>
        </row>
        <row r="63">
          <cell r="T63">
            <v>7</v>
          </cell>
        </row>
        <row r="72">
          <cell r="T72">
            <v>8</v>
          </cell>
        </row>
        <row r="81">
          <cell r="T81">
            <v>5</v>
          </cell>
        </row>
        <row r="90">
          <cell r="T90">
            <v>8</v>
          </cell>
        </row>
        <row r="99">
          <cell r="T99">
            <v>8</v>
          </cell>
        </row>
        <row r="108">
          <cell r="T108">
            <v>8</v>
          </cell>
        </row>
        <row r="117">
          <cell r="T117">
            <v>6</v>
          </cell>
        </row>
        <row r="126">
          <cell r="T126">
            <v>8</v>
          </cell>
        </row>
        <row r="135">
          <cell r="T135">
            <v>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tabSelected="1" zoomScale="60" zoomScaleNormal="6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2" sqref="H12"/>
    </sheetView>
  </sheetViews>
  <sheetFormatPr defaultRowHeight="23.25" x14ac:dyDescent="0.55000000000000004"/>
  <cols>
    <col min="1" max="1" width="11" style="20" customWidth="1"/>
    <col min="2" max="2" width="14.75" style="20" customWidth="1"/>
    <col min="3" max="3" width="18.25" style="20" customWidth="1"/>
    <col min="4" max="4" width="11.5" style="20" customWidth="1"/>
    <col min="5" max="5" width="24.625" style="20" customWidth="1"/>
    <col min="6" max="6" width="19.25" style="20" customWidth="1"/>
    <col min="7" max="7" width="25.75" style="20" customWidth="1"/>
    <col min="8" max="8" width="14.125" style="20" customWidth="1"/>
    <col min="9" max="9" width="28.25" style="20" bestFit="1" customWidth="1"/>
    <col min="10" max="10" width="27.75" style="20" customWidth="1"/>
    <col min="11" max="11" width="52.625" style="20" bestFit="1" customWidth="1"/>
    <col min="12" max="257" width="9" style="20"/>
    <col min="258" max="258" width="14.75" style="20" customWidth="1"/>
    <col min="259" max="259" width="17.25" style="20" customWidth="1"/>
    <col min="260" max="260" width="11.5" style="20" customWidth="1"/>
    <col min="261" max="262" width="14.125" style="20" customWidth="1"/>
    <col min="263" max="264" width="22.75" style="20" customWidth="1"/>
    <col min="265" max="265" width="14.5" style="20" customWidth="1"/>
    <col min="266" max="266" width="12.125" style="20" customWidth="1"/>
    <col min="267" max="513" width="9" style="20"/>
    <col min="514" max="514" width="14.75" style="20" customWidth="1"/>
    <col min="515" max="515" width="17.25" style="20" customWidth="1"/>
    <col min="516" max="516" width="11.5" style="20" customWidth="1"/>
    <col min="517" max="518" width="14.125" style="20" customWidth="1"/>
    <col min="519" max="520" width="22.75" style="20" customWidth="1"/>
    <col min="521" max="521" width="14.5" style="20" customWidth="1"/>
    <col min="522" max="522" width="12.125" style="20" customWidth="1"/>
    <col min="523" max="769" width="9" style="20"/>
    <col min="770" max="770" width="14.75" style="20" customWidth="1"/>
    <col min="771" max="771" width="17.25" style="20" customWidth="1"/>
    <col min="772" max="772" width="11.5" style="20" customWidth="1"/>
    <col min="773" max="774" width="14.125" style="20" customWidth="1"/>
    <col min="775" max="776" width="22.75" style="20" customWidth="1"/>
    <col min="777" max="777" width="14.5" style="20" customWidth="1"/>
    <col min="778" max="778" width="12.125" style="20" customWidth="1"/>
    <col min="779" max="1025" width="9" style="20"/>
    <col min="1026" max="1026" width="14.75" style="20" customWidth="1"/>
    <col min="1027" max="1027" width="17.25" style="20" customWidth="1"/>
    <col min="1028" max="1028" width="11.5" style="20" customWidth="1"/>
    <col min="1029" max="1030" width="14.125" style="20" customWidth="1"/>
    <col min="1031" max="1032" width="22.75" style="20" customWidth="1"/>
    <col min="1033" max="1033" width="14.5" style="20" customWidth="1"/>
    <col min="1034" max="1034" width="12.125" style="20" customWidth="1"/>
    <col min="1035" max="1281" width="9" style="20"/>
    <col min="1282" max="1282" width="14.75" style="20" customWidth="1"/>
    <col min="1283" max="1283" width="17.25" style="20" customWidth="1"/>
    <col min="1284" max="1284" width="11.5" style="20" customWidth="1"/>
    <col min="1285" max="1286" width="14.125" style="20" customWidth="1"/>
    <col min="1287" max="1288" width="22.75" style="20" customWidth="1"/>
    <col min="1289" max="1289" width="14.5" style="20" customWidth="1"/>
    <col min="1290" max="1290" width="12.125" style="20" customWidth="1"/>
    <col min="1291" max="1537" width="9" style="20"/>
    <col min="1538" max="1538" width="14.75" style="20" customWidth="1"/>
    <col min="1539" max="1539" width="17.25" style="20" customWidth="1"/>
    <col min="1540" max="1540" width="11.5" style="20" customWidth="1"/>
    <col min="1541" max="1542" width="14.125" style="20" customWidth="1"/>
    <col min="1543" max="1544" width="22.75" style="20" customWidth="1"/>
    <col min="1545" max="1545" width="14.5" style="20" customWidth="1"/>
    <col min="1546" max="1546" width="12.125" style="20" customWidth="1"/>
    <col min="1547" max="1793" width="9" style="20"/>
    <col min="1794" max="1794" width="14.75" style="20" customWidth="1"/>
    <col min="1795" max="1795" width="17.25" style="20" customWidth="1"/>
    <col min="1796" max="1796" width="11.5" style="20" customWidth="1"/>
    <col min="1797" max="1798" width="14.125" style="20" customWidth="1"/>
    <col min="1799" max="1800" width="22.75" style="20" customWidth="1"/>
    <col min="1801" max="1801" width="14.5" style="20" customWidth="1"/>
    <col min="1802" max="1802" width="12.125" style="20" customWidth="1"/>
    <col min="1803" max="2049" width="9" style="20"/>
    <col min="2050" max="2050" width="14.75" style="20" customWidth="1"/>
    <col min="2051" max="2051" width="17.25" style="20" customWidth="1"/>
    <col min="2052" max="2052" width="11.5" style="20" customWidth="1"/>
    <col min="2053" max="2054" width="14.125" style="20" customWidth="1"/>
    <col min="2055" max="2056" width="22.75" style="20" customWidth="1"/>
    <col min="2057" max="2057" width="14.5" style="20" customWidth="1"/>
    <col min="2058" max="2058" width="12.125" style="20" customWidth="1"/>
    <col min="2059" max="2305" width="9" style="20"/>
    <col min="2306" max="2306" width="14.75" style="20" customWidth="1"/>
    <col min="2307" max="2307" width="17.25" style="20" customWidth="1"/>
    <col min="2308" max="2308" width="11.5" style="20" customWidth="1"/>
    <col min="2309" max="2310" width="14.125" style="20" customWidth="1"/>
    <col min="2311" max="2312" width="22.75" style="20" customWidth="1"/>
    <col min="2313" max="2313" width="14.5" style="20" customWidth="1"/>
    <col min="2314" max="2314" width="12.125" style="20" customWidth="1"/>
    <col min="2315" max="2561" width="9" style="20"/>
    <col min="2562" max="2562" width="14.75" style="20" customWidth="1"/>
    <col min="2563" max="2563" width="17.25" style="20" customWidth="1"/>
    <col min="2564" max="2564" width="11.5" style="20" customWidth="1"/>
    <col min="2565" max="2566" width="14.125" style="20" customWidth="1"/>
    <col min="2567" max="2568" width="22.75" style="20" customWidth="1"/>
    <col min="2569" max="2569" width="14.5" style="20" customWidth="1"/>
    <col min="2570" max="2570" width="12.125" style="20" customWidth="1"/>
    <col min="2571" max="2817" width="9" style="20"/>
    <col min="2818" max="2818" width="14.75" style="20" customWidth="1"/>
    <col min="2819" max="2819" width="17.25" style="20" customWidth="1"/>
    <col min="2820" max="2820" width="11.5" style="20" customWidth="1"/>
    <col min="2821" max="2822" width="14.125" style="20" customWidth="1"/>
    <col min="2823" max="2824" width="22.75" style="20" customWidth="1"/>
    <col min="2825" max="2825" width="14.5" style="20" customWidth="1"/>
    <col min="2826" max="2826" width="12.125" style="20" customWidth="1"/>
    <col min="2827" max="3073" width="9" style="20"/>
    <col min="3074" max="3074" width="14.75" style="20" customWidth="1"/>
    <col min="3075" max="3075" width="17.25" style="20" customWidth="1"/>
    <col min="3076" max="3076" width="11.5" style="20" customWidth="1"/>
    <col min="3077" max="3078" width="14.125" style="20" customWidth="1"/>
    <col min="3079" max="3080" width="22.75" style="20" customWidth="1"/>
    <col min="3081" max="3081" width="14.5" style="20" customWidth="1"/>
    <col min="3082" max="3082" width="12.125" style="20" customWidth="1"/>
    <col min="3083" max="3329" width="9" style="20"/>
    <col min="3330" max="3330" width="14.75" style="20" customWidth="1"/>
    <col min="3331" max="3331" width="17.25" style="20" customWidth="1"/>
    <col min="3332" max="3332" width="11.5" style="20" customWidth="1"/>
    <col min="3333" max="3334" width="14.125" style="20" customWidth="1"/>
    <col min="3335" max="3336" width="22.75" style="20" customWidth="1"/>
    <col min="3337" max="3337" width="14.5" style="20" customWidth="1"/>
    <col min="3338" max="3338" width="12.125" style="20" customWidth="1"/>
    <col min="3339" max="3585" width="9" style="20"/>
    <col min="3586" max="3586" width="14.75" style="20" customWidth="1"/>
    <col min="3587" max="3587" width="17.25" style="20" customWidth="1"/>
    <col min="3588" max="3588" width="11.5" style="20" customWidth="1"/>
    <col min="3589" max="3590" width="14.125" style="20" customWidth="1"/>
    <col min="3591" max="3592" width="22.75" style="20" customWidth="1"/>
    <col min="3593" max="3593" width="14.5" style="20" customWidth="1"/>
    <col min="3594" max="3594" width="12.125" style="20" customWidth="1"/>
    <col min="3595" max="3841" width="9" style="20"/>
    <col min="3842" max="3842" width="14.75" style="20" customWidth="1"/>
    <col min="3843" max="3843" width="17.25" style="20" customWidth="1"/>
    <col min="3844" max="3844" width="11.5" style="20" customWidth="1"/>
    <col min="3845" max="3846" width="14.125" style="20" customWidth="1"/>
    <col min="3847" max="3848" width="22.75" style="20" customWidth="1"/>
    <col min="3849" max="3849" width="14.5" style="20" customWidth="1"/>
    <col min="3850" max="3850" width="12.125" style="20" customWidth="1"/>
    <col min="3851" max="4097" width="9" style="20"/>
    <col min="4098" max="4098" width="14.75" style="20" customWidth="1"/>
    <col min="4099" max="4099" width="17.25" style="20" customWidth="1"/>
    <col min="4100" max="4100" width="11.5" style="20" customWidth="1"/>
    <col min="4101" max="4102" width="14.125" style="20" customWidth="1"/>
    <col min="4103" max="4104" width="22.75" style="20" customWidth="1"/>
    <col min="4105" max="4105" width="14.5" style="20" customWidth="1"/>
    <col min="4106" max="4106" width="12.125" style="20" customWidth="1"/>
    <col min="4107" max="4353" width="9" style="20"/>
    <col min="4354" max="4354" width="14.75" style="20" customWidth="1"/>
    <col min="4355" max="4355" width="17.25" style="20" customWidth="1"/>
    <col min="4356" max="4356" width="11.5" style="20" customWidth="1"/>
    <col min="4357" max="4358" width="14.125" style="20" customWidth="1"/>
    <col min="4359" max="4360" width="22.75" style="20" customWidth="1"/>
    <col min="4361" max="4361" width="14.5" style="20" customWidth="1"/>
    <col min="4362" max="4362" width="12.125" style="20" customWidth="1"/>
    <col min="4363" max="4609" width="9" style="20"/>
    <col min="4610" max="4610" width="14.75" style="20" customWidth="1"/>
    <col min="4611" max="4611" width="17.25" style="20" customWidth="1"/>
    <col min="4612" max="4612" width="11.5" style="20" customWidth="1"/>
    <col min="4613" max="4614" width="14.125" style="20" customWidth="1"/>
    <col min="4615" max="4616" width="22.75" style="20" customWidth="1"/>
    <col min="4617" max="4617" width="14.5" style="20" customWidth="1"/>
    <col min="4618" max="4618" width="12.125" style="20" customWidth="1"/>
    <col min="4619" max="4865" width="9" style="20"/>
    <col min="4866" max="4866" width="14.75" style="20" customWidth="1"/>
    <col min="4867" max="4867" width="17.25" style="20" customWidth="1"/>
    <col min="4868" max="4868" width="11.5" style="20" customWidth="1"/>
    <col min="4869" max="4870" width="14.125" style="20" customWidth="1"/>
    <col min="4871" max="4872" width="22.75" style="20" customWidth="1"/>
    <col min="4873" max="4873" width="14.5" style="20" customWidth="1"/>
    <col min="4874" max="4874" width="12.125" style="20" customWidth="1"/>
    <col min="4875" max="5121" width="9" style="20"/>
    <col min="5122" max="5122" width="14.75" style="20" customWidth="1"/>
    <col min="5123" max="5123" width="17.25" style="20" customWidth="1"/>
    <col min="5124" max="5124" width="11.5" style="20" customWidth="1"/>
    <col min="5125" max="5126" width="14.125" style="20" customWidth="1"/>
    <col min="5127" max="5128" width="22.75" style="20" customWidth="1"/>
    <col min="5129" max="5129" width="14.5" style="20" customWidth="1"/>
    <col min="5130" max="5130" width="12.125" style="20" customWidth="1"/>
    <col min="5131" max="5377" width="9" style="20"/>
    <col min="5378" max="5378" width="14.75" style="20" customWidth="1"/>
    <col min="5379" max="5379" width="17.25" style="20" customWidth="1"/>
    <col min="5380" max="5380" width="11.5" style="20" customWidth="1"/>
    <col min="5381" max="5382" width="14.125" style="20" customWidth="1"/>
    <col min="5383" max="5384" width="22.75" style="20" customWidth="1"/>
    <col min="5385" max="5385" width="14.5" style="20" customWidth="1"/>
    <col min="5386" max="5386" width="12.125" style="20" customWidth="1"/>
    <col min="5387" max="5633" width="9" style="20"/>
    <col min="5634" max="5634" width="14.75" style="20" customWidth="1"/>
    <col min="5635" max="5635" width="17.25" style="20" customWidth="1"/>
    <col min="5636" max="5636" width="11.5" style="20" customWidth="1"/>
    <col min="5637" max="5638" width="14.125" style="20" customWidth="1"/>
    <col min="5639" max="5640" width="22.75" style="20" customWidth="1"/>
    <col min="5641" max="5641" width="14.5" style="20" customWidth="1"/>
    <col min="5642" max="5642" width="12.125" style="20" customWidth="1"/>
    <col min="5643" max="5889" width="9" style="20"/>
    <col min="5890" max="5890" width="14.75" style="20" customWidth="1"/>
    <col min="5891" max="5891" width="17.25" style="20" customWidth="1"/>
    <col min="5892" max="5892" width="11.5" style="20" customWidth="1"/>
    <col min="5893" max="5894" width="14.125" style="20" customWidth="1"/>
    <col min="5895" max="5896" width="22.75" style="20" customWidth="1"/>
    <col min="5897" max="5897" width="14.5" style="20" customWidth="1"/>
    <col min="5898" max="5898" width="12.125" style="20" customWidth="1"/>
    <col min="5899" max="6145" width="9" style="20"/>
    <col min="6146" max="6146" width="14.75" style="20" customWidth="1"/>
    <col min="6147" max="6147" width="17.25" style="20" customWidth="1"/>
    <col min="6148" max="6148" width="11.5" style="20" customWidth="1"/>
    <col min="6149" max="6150" width="14.125" style="20" customWidth="1"/>
    <col min="6151" max="6152" width="22.75" style="20" customWidth="1"/>
    <col min="6153" max="6153" width="14.5" style="20" customWidth="1"/>
    <col min="6154" max="6154" width="12.125" style="20" customWidth="1"/>
    <col min="6155" max="6401" width="9" style="20"/>
    <col min="6402" max="6402" width="14.75" style="20" customWidth="1"/>
    <col min="6403" max="6403" width="17.25" style="20" customWidth="1"/>
    <col min="6404" max="6404" width="11.5" style="20" customWidth="1"/>
    <col min="6405" max="6406" width="14.125" style="20" customWidth="1"/>
    <col min="6407" max="6408" width="22.75" style="20" customWidth="1"/>
    <col min="6409" max="6409" width="14.5" style="20" customWidth="1"/>
    <col min="6410" max="6410" width="12.125" style="20" customWidth="1"/>
    <col min="6411" max="6657" width="9" style="20"/>
    <col min="6658" max="6658" width="14.75" style="20" customWidth="1"/>
    <col min="6659" max="6659" width="17.25" style="20" customWidth="1"/>
    <col min="6660" max="6660" width="11.5" style="20" customWidth="1"/>
    <col min="6661" max="6662" width="14.125" style="20" customWidth="1"/>
    <col min="6663" max="6664" width="22.75" style="20" customWidth="1"/>
    <col min="6665" max="6665" width="14.5" style="20" customWidth="1"/>
    <col min="6666" max="6666" width="12.125" style="20" customWidth="1"/>
    <col min="6667" max="6913" width="9" style="20"/>
    <col min="6914" max="6914" width="14.75" style="20" customWidth="1"/>
    <col min="6915" max="6915" width="17.25" style="20" customWidth="1"/>
    <col min="6916" max="6916" width="11.5" style="20" customWidth="1"/>
    <col min="6917" max="6918" width="14.125" style="20" customWidth="1"/>
    <col min="6919" max="6920" width="22.75" style="20" customWidth="1"/>
    <col min="6921" max="6921" width="14.5" style="20" customWidth="1"/>
    <col min="6922" max="6922" width="12.125" style="20" customWidth="1"/>
    <col min="6923" max="7169" width="9" style="20"/>
    <col min="7170" max="7170" width="14.75" style="20" customWidth="1"/>
    <col min="7171" max="7171" width="17.25" style="20" customWidth="1"/>
    <col min="7172" max="7172" width="11.5" style="20" customWidth="1"/>
    <col min="7173" max="7174" width="14.125" style="20" customWidth="1"/>
    <col min="7175" max="7176" width="22.75" style="20" customWidth="1"/>
    <col min="7177" max="7177" width="14.5" style="20" customWidth="1"/>
    <col min="7178" max="7178" width="12.125" style="20" customWidth="1"/>
    <col min="7179" max="7425" width="9" style="20"/>
    <col min="7426" max="7426" width="14.75" style="20" customWidth="1"/>
    <col min="7427" max="7427" width="17.25" style="20" customWidth="1"/>
    <col min="7428" max="7428" width="11.5" style="20" customWidth="1"/>
    <col min="7429" max="7430" width="14.125" style="20" customWidth="1"/>
    <col min="7431" max="7432" width="22.75" style="20" customWidth="1"/>
    <col min="7433" max="7433" width="14.5" style="20" customWidth="1"/>
    <col min="7434" max="7434" width="12.125" style="20" customWidth="1"/>
    <col min="7435" max="7681" width="9" style="20"/>
    <col min="7682" max="7682" width="14.75" style="20" customWidth="1"/>
    <col min="7683" max="7683" width="17.25" style="20" customWidth="1"/>
    <col min="7684" max="7684" width="11.5" style="20" customWidth="1"/>
    <col min="7685" max="7686" width="14.125" style="20" customWidth="1"/>
    <col min="7687" max="7688" width="22.75" style="20" customWidth="1"/>
    <col min="7689" max="7689" width="14.5" style="20" customWidth="1"/>
    <col min="7690" max="7690" width="12.125" style="20" customWidth="1"/>
    <col min="7691" max="7937" width="9" style="20"/>
    <col min="7938" max="7938" width="14.75" style="20" customWidth="1"/>
    <col min="7939" max="7939" width="17.25" style="20" customWidth="1"/>
    <col min="7940" max="7940" width="11.5" style="20" customWidth="1"/>
    <col min="7941" max="7942" width="14.125" style="20" customWidth="1"/>
    <col min="7943" max="7944" width="22.75" style="20" customWidth="1"/>
    <col min="7945" max="7945" width="14.5" style="20" customWidth="1"/>
    <col min="7946" max="7946" width="12.125" style="20" customWidth="1"/>
    <col min="7947" max="8193" width="9" style="20"/>
    <col min="8194" max="8194" width="14.75" style="20" customWidth="1"/>
    <col min="8195" max="8195" width="17.25" style="20" customWidth="1"/>
    <col min="8196" max="8196" width="11.5" style="20" customWidth="1"/>
    <col min="8197" max="8198" width="14.125" style="20" customWidth="1"/>
    <col min="8199" max="8200" width="22.75" style="20" customWidth="1"/>
    <col min="8201" max="8201" width="14.5" style="20" customWidth="1"/>
    <col min="8202" max="8202" width="12.125" style="20" customWidth="1"/>
    <col min="8203" max="8449" width="9" style="20"/>
    <col min="8450" max="8450" width="14.75" style="20" customWidth="1"/>
    <col min="8451" max="8451" width="17.25" style="20" customWidth="1"/>
    <col min="8452" max="8452" width="11.5" style="20" customWidth="1"/>
    <col min="8453" max="8454" width="14.125" style="20" customWidth="1"/>
    <col min="8455" max="8456" width="22.75" style="20" customWidth="1"/>
    <col min="8457" max="8457" width="14.5" style="20" customWidth="1"/>
    <col min="8458" max="8458" width="12.125" style="20" customWidth="1"/>
    <col min="8459" max="8705" width="9" style="20"/>
    <col min="8706" max="8706" width="14.75" style="20" customWidth="1"/>
    <col min="8707" max="8707" width="17.25" style="20" customWidth="1"/>
    <col min="8708" max="8708" width="11.5" style="20" customWidth="1"/>
    <col min="8709" max="8710" width="14.125" style="20" customWidth="1"/>
    <col min="8711" max="8712" width="22.75" style="20" customWidth="1"/>
    <col min="8713" max="8713" width="14.5" style="20" customWidth="1"/>
    <col min="8714" max="8714" width="12.125" style="20" customWidth="1"/>
    <col min="8715" max="8961" width="9" style="20"/>
    <col min="8962" max="8962" width="14.75" style="20" customWidth="1"/>
    <col min="8963" max="8963" width="17.25" style="20" customWidth="1"/>
    <col min="8964" max="8964" width="11.5" style="20" customWidth="1"/>
    <col min="8965" max="8966" width="14.125" style="20" customWidth="1"/>
    <col min="8967" max="8968" width="22.75" style="20" customWidth="1"/>
    <col min="8969" max="8969" width="14.5" style="20" customWidth="1"/>
    <col min="8970" max="8970" width="12.125" style="20" customWidth="1"/>
    <col min="8971" max="9217" width="9" style="20"/>
    <col min="9218" max="9218" width="14.75" style="20" customWidth="1"/>
    <col min="9219" max="9219" width="17.25" style="20" customWidth="1"/>
    <col min="9220" max="9220" width="11.5" style="20" customWidth="1"/>
    <col min="9221" max="9222" width="14.125" style="20" customWidth="1"/>
    <col min="9223" max="9224" width="22.75" style="20" customWidth="1"/>
    <col min="9225" max="9225" width="14.5" style="20" customWidth="1"/>
    <col min="9226" max="9226" width="12.125" style="20" customWidth="1"/>
    <col min="9227" max="9473" width="9" style="20"/>
    <col min="9474" max="9474" width="14.75" style="20" customWidth="1"/>
    <col min="9475" max="9475" width="17.25" style="20" customWidth="1"/>
    <col min="9476" max="9476" width="11.5" style="20" customWidth="1"/>
    <col min="9477" max="9478" width="14.125" style="20" customWidth="1"/>
    <col min="9479" max="9480" width="22.75" style="20" customWidth="1"/>
    <col min="9481" max="9481" width="14.5" style="20" customWidth="1"/>
    <col min="9482" max="9482" width="12.125" style="20" customWidth="1"/>
    <col min="9483" max="9729" width="9" style="20"/>
    <col min="9730" max="9730" width="14.75" style="20" customWidth="1"/>
    <col min="9731" max="9731" width="17.25" style="20" customWidth="1"/>
    <col min="9732" max="9732" width="11.5" style="20" customWidth="1"/>
    <col min="9733" max="9734" width="14.125" style="20" customWidth="1"/>
    <col min="9735" max="9736" width="22.75" style="20" customWidth="1"/>
    <col min="9737" max="9737" width="14.5" style="20" customWidth="1"/>
    <col min="9738" max="9738" width="12.125" style="20" customWidth="1"/>
    <col min="9739" max="9985" width="9" style="20"/>
    <col min="9986" max="9986" width="14.75" style="20" customWidth="1"/>
    <col min="9987" max="9987" width="17.25" style="20" customWidth="1"/>
    <col min="9988" max="9988" width="11.5" style="20" customWidth="1"/>
    <col min="9989" max="9990" width="14.125" style="20" customWidth="1"/>
    <col min="9991" max="9992" width="22.75" style="20" customWidth="1"/>
    <col min="9993" max="9993" width="14.5" style="20" customWidth="1"/>
    <col min="9994" max="9994" width="12.125" style="20" customWidth="1"/>
    <col min="9995" max="10241" width="9" style="20"/>
    <col min="10242" max="10242" width="14.75" style="20" customWidth="1"/>
    <col min="10243" max="10243" width="17.25" style="20" customWidth="1"/>
    <col min="10244" max="10244" width="11.5" style="20" customWidth="1"/>
    <col min="10245" max="10246" width="14.125" style="20" customWidth="1"/>
    <col min="10247" max="10248" width="22.75" style="20" customWidth="1"/>
    <col min="10249" max="10249" width="14.5" style="20" customWidth="1"/>
    <col min="10250" max="10250" width="12.125" style="20" customWidth="1"/>
    <col min="10251" max="10497" width="9" style="20"/>
    <col min="10498" max="10498" width="14.75" style="20" customWidth="1"/>
    <col min="10499" max="10499" width="17.25" style="20" customWidth="1"/>
    <col min="10500" max="10500" width="11.5" style="20" customWidth="1"/>
    <col min="10501" max="10502" width="14.125" style="20" customWidth="1"/>
    <col min="10503" max="10504" width="22.75" style="20" customWidth="1"/>
    <col min="10505" max="10505" width="14.5" style="20" customWidth="1"/>
    <col min="10506" max="10506" width="12.125" style="20" customWidth="1"/>
    <col min="10507" max="10753" width="9" style="20"/>
    <col min="10754" max="10754" width="14.75" style="20" customWidth="1"/>
    <col min="10755" max="10755" width="17.25" style="20" customWidth="1"/>
    <col min="10756" max="10756" width="11.5" style="20" customWidth="1"/>
    <col min="10757" max="10758" width="14.125" style="20" customWidth="1"/>
    <col min="10759" max="10760" width="22.75" style="20" customWidth="1"/>
    <col min="10761" max="10761" width="14.5" style="20" customWidth="1"/>
    <col min="10762" max="10762" width="12.125" style="20" customWidth="1"/>
    <col min="10763" max="11009" width="9" style="20"/>
    <col min="11010" max="11010" width="14.75" style="20" customWidth="1"/>
    <col min="11011" max="11011" width="17.25" style="20" customWidth="1"/>
    <col min="11012" max="11012" width="11.5" style="20" customWidth="1"/>
    <col min="11013" max="11014" width="14.125" style="20" customWidth="1"/>
    <col min="11015" max="11016" width="22.75" style="20" customWidth="1"/>
    <col min="11017" max="11017" width="14.5" style="20" customWidth="1"/>
    <col min="11018" max="11018" width="12.125" style="20" customWidth="1"/>
    <col min="11019" max="11265" width="9" style="20"/>
    <col min="11266" max="11266" width="14.75" style="20" customWidth="1"/>
    <col min="11267" max="11267" width="17.25" style="20" customWidth="1"/>
    <col min="11268" max="11268" width="11.5" style="20" customWidth="1"/>
    <col min="11269" max="11270" width="14.125" style="20" customWidth="1"/>
    <col min="11271" max="11272" width="22.75" style="20" customWidth="1"/>
    <col min="11273" max="11273" width="14.5" style="20" customWidth="1"/>
    <col min="11274" max="11274" width="12.125" style="20" customWidth="1"/>
    <col min="11275" max="11521" width="9" style="20"/>
    <col min="11522" max="11522" width="14.75" style="20" customWidth="1"/>
    <col min="11523" max="11523" width="17.25" style="20" customWidth="1"/>
    <col min="11524" max="11524" width="11.5" style="20" customWidth="1"/>
    <col min="11525" max="11526" width="14.125" style="20" customWidth="1"/>
    <col min="11527" max="11528" width="22.75" style="20" customWidth="1"/>
    <col min="11529" max="11529" width="14.5" style="20" customWidth="1"/>
    <col min="11530" max="11530" width="12.125" style="20" customWidth="1"/>
    <col min="11531" max="11777" width="9" style="20"/>
    <col min="11778" max="11778" width="14.75" style="20" customWidth="1"/>
    <col min="11779" max="11779" width="17.25" style="20" customWidth="1"/>
    <col min="11780" max="11780" width="11.5" style="20" customWidth="1"/>
    <col min="11781" max="11782" width="14.125" style="20" customWidth="1"/>
    <col min="11783" max="11784" width="22.75" style="20" customWidth="1"/>
    <col min="11785" max="11785" width="14.5" style="20" customWidth="1"/>
    <col min="11786" max="11786" width="12.125" style="20" customWidth="1"/>
    <col min="11787" max="12033" width="9" style="20"/>
    <col min="12034" max="12034" width="14.75" style="20" customWidth="1"/>
    <col min="12035" max="12035" width="17.25" style="20" customWidth="1"/>
    <col min="12036" max="12036" width="11.5" style="20" customWidth="1"/>
    <col min="12037" max="12038" width="14.125" style="20" customWidth="1"/>
    <col min="12039" max="12040" width="22.75" style="20" customWidth="1"/>
    <col min="12041" max="12041" width="14.5" style="20" customWidth="1"/>
    <col min="12042" max="12042" width="12.125" style="20" customWidth="1"/>
    <col min="12043" max="12289" width="9" style="20"/>
    <col min="12290" max="12290" width="14.75" style="20" customWidth="1"/>
    <col min="12291" max="12291" width="17.25" style="20" customWidth="1"/>
    <col min="12292" max="12292" width="11.5" style="20" customWidth="1"/>
    <col min="12293" max="12294" width="14.125" style="20" customWidth="1"/>
    <col min="12295" max="12296" width="22.75" style="20" customWidth="1"/>
    <col min="12297" max="12297" width="14.5" style="20" customWidth="1"/>
    <col min="12298" max="12298" width="12.125" style="20" customWidth="1"/>
    <col min="12299" max="12545" width="9" style="20"/>
    <col min="12546" max="12546" width="14.75" style="20" customWidth="1"/>
    <col min="12547" max="12547" width="17.25" style="20" customWidth="1"/>
    <col min="12548" max="12548" width="11.5" style="20" customWidth="1"/>
    <col min="12549" max="12550" width="14.125" style="20" customWidth="1"/>
    <col min="12551" max="12552" width="22.75" style="20" customWidth="1"/>
    <col min="12553" max="12553" width="14.5" style="20" customWidth="1"/>
    <col min="12554" max="12554" width="12.125" style="20" customWidth="1"/>
    <col min="12555" max="12801" width="9" style="20"/>
    <col min="12802" max="12802" width="14.75" style="20" customWidth="1"/>
    <col min="12803" max="12803" width="17.25" style="20" customWidth="1"/>
    <col min="12804" max="12804" width="11.5" style="20" customWidth="1"/>
    <col min="12805" max="12806" width="14.125" style="20" customWidth="1"/>
    <col min="12807" max="12808" width="22.75" style="20" customWidth="1"/>
    <col min="12809" max="12809" width="14.5" style="20" customWidth="1"/>
    <col min="12810" max="12810" width="12.125" style="20" customWidth="1"/>
    <col min="12811" max="13057" width="9" style="20"/>
    <col min="13058" max="13058" width="14.75" style="20" customWidth="1"/>
    <col min="13059" max="13059" width="17.25" style="20" customWidth="1"/>
    <col min="13060" max="13060" width="11.5" style="20" customWidth="1"/>
    <col min="13061" max="13062" width="14.125" style="20" customWidth="1"/>
    <col min="13063" max="13064" width="22.75" style="20" customWidth="1"/>
    <col min="13065" max="13065" width="14.5" style="20" customWidth="1"/>
    <col min="13066" max="13066" width="12.125" style="20" customWidth="1"/>
    <col min="13067" max="13313" width="9" style="20"/>
    <col min="13314" max="13314" width="14.75" style="20" customWidth="1"/>
    <col min="13315" max="13315" width="17.25" style="20" customWidth="1"/>
    <col min="13316" max="13316" width="11.5" style="20" customWidth="1"/>
    <col min="13317" max="13318" width="14.125" style="20" customWidth="1"/>
    <col min="13319" max="13320" width="22.75" style="20" customWidth="1"/>
    <col min="13321" max="13321" width="14.5" style="20" customWidth="1"/>
    <col min="13322" max="13322" width="12.125" style="20" customWidth="1"/>
    <col min="13323" max="13569" width="9" style="20"/>
    <col min="13570" max="13570" width="14.75" style="20" customWidth="1"/>
    <col min="13571" max="13571" width="17.25" style="20" customWidth="1"/>
    <col min="13572" max="13572" width="11.5" style="20" customWidth="1"/>
    <col min="13573" max="13574" width="14.125" style="20" customWidth="1"/>
    <col min="13575" max="13576" width="22.75" style="20" customWidth="1"/>
    <col min="13577" max="13577" width="14.5" style="20" customWidth="1"/>
    <col min="13578" max="13578" width="12.125" style="20" customWidth="1"/>
    <col min="13579" max="13825" width="9" style="20"/>
    <col min="13826" max="13826" width="14.75" style="20" customWidth="1"/>
    <col min="13827" max="13827" width="17.25" style="20" customWidth="1"/>
    <col min="13828" max="13828" width="11.5" style="20" customWidth="1"/>
    <col min="13829" max="13830" width="14.125" style="20" customWidth="1"/>
    <col min="13831" max="13832" width="22.75" style="20" customWidth="1"/>
    <col min="13833" max="13833" width="14.5" style="20" customWidth="1"/>
    <col min="13834" max="13834" width="12.125" style="20" customWidth="1"/>
    <col min="13835" max="14081" width="9" style="20"/>
    <col min="14082" max="14082" width="14.75" style="20" customWidth="1"/>
    <col min="14083" max="14083" width="17.25" style="20" customWidth="1"/>
    <col min="14084" max="14084" width="11.5" style="20" customWidth="1"/>
    <col min="14085" max="14086" width="14.125" style="20" customWidth="1"/>
    <col min="14087" max="14088" width="22.75" style="20" customWidth="1"/>
    <col min="14089" max="14089" width="14.5" style="20" customWidth="1"/>
    <col min="14090" max="14090" width="12.125" style="20" customWidth="1"/>
    <col min="14091" max="14337" width="9" style="20"/>
    <col min="14338" max="14338" width="14.75" style="20" customWidth="1"/>
    <col min="14339" max="14339" width="17.25" style="20" customWidth="1"/>
    <col min="14340" max="14340" width="11.5" style="20" customWidth="1"/>
    <col min="14341" max="14342" width="14.125" style="20" customWidth="1"/>
    <col min="14343" max="14344" width="22.75" style="20" customWidth="1"/>
    <col min="14345" max="14345" width="14.5" style="20" customWidth="1"/>
    <col min="14346" max="14346" width="12.125" style="20" customWidth="1"/>
    <col min="14347" max="14593" width="9" style="20"/>
    <col min="14594" max="14594" width="14.75" style="20" customWidth="1"/>
    <col min="14595" max="14595" width="17.25" style="20" customWidth="1"/>
    <col min="14596" max="14596" width="11.5" style="20" customWidth="1"/>
    <col min="14597" max="14598" width="14.125" style="20" customWidth="1"/>
    <col min="14599" max="14600" width="22.75" style="20" customWidth="1"/>
    <col min="14601" max="14601" width="14.5" style="20" customWidth="1"/>
    <col min="14602" max="14602" width="12.125" style="20" customWidth="1"/>
    <col min="14603" max="14849" width="9" style="20"/>
    <col min="14850" max="14850" width="14.75" style="20" customWidth="1"/>
    <col min="14851" max="14851" width="17.25" style="20" customWidth="1"/>
    <col min="14852" max="14852" width="11.5" style="20" customWidth="1"/>
    <col min="14853" max="14854" width="14.125" style="20" customWidth="1"/>
    <col min="14855" max="14856" width="22.75" style="20" customWidth="1"/>
    <col min="14857" max="14857" width="14.5" style="20" customWidth="1"/>
    <col min="14858" max="14858" width="12.125" style="20" customWidth="1"/>
    <col min="14859" max="15105" width="9" style="20"/>
    <col min="15106" max="15106" width="14.75" style="20" customWidth="1"/>
    <col min="15107" max="15107" width="17.25" style="20" customWidth="1"/>
    <col min="15108" max="15108" width="11.5" style="20" customWidth="1"/>
    <col min="15109" max="15110" width="14.125" style="20" customWidth="1"/>
    <col min="15111" max="15112" width="22.75" style="20" customWidth="1"/>
    <col min="15113" max="15113" width="14.5" style="20" customWidth="1"/>
    <col min="15114" max="15114" width="12.125" style="20" customWidth="1"/>
    <col min="15115" max="15361" width="9" style="20"/>
    <col min="15362" max="15362" width="14.75" style="20" customWidth="1"/>
    <col min="15363" max="15363" width="17.25" style="20" customWidth="1"/>
    <col min="15364" max="15364" width="11.5" style="20" customWidth="1"/>
    <col min="15365" max="15366" width="14.125" style="20" customWidth="1"/>
    <col min="15367" max="15368" width="22.75" style="20" customWidth="1"/>
    <col min="15369" max="15369" width="14.5" style="20" customWidth="1"/>
    <col min="15370" max="15370" width="12.125" style="20" customWidth="1"/>
    <col min="15371" max="15617" width="9" style="20"/>
    <col min="15618" max="15618" width="14.75" style="20" customWidth="1"/>
    <col min="15619" max="15619" width="17.25" style="20" customWidth="1"/>
    <col min="15620" max="15620" width="11.5" style="20" customWidth="1"/>
    <col min="15621" max="15622" width="14.125" style="20" customWidth="1"/>
    <col min="15623" max="15624" width="22.75" style="20" customWidth="1"/>
    <col min="15625" max="15625" width="14.5" style="20" customWidth="1"/>
    <col min="15626" max="15626" width="12.125" style="20" customWidth="1"/>
    <col min="15627" max="15873" width="9" style="20"/>
    <col min="15874" max="15874" width="14.75" style="20" customWidth="1"/>
    <col min="15875" max="15875" width="17.25" style="20" customWidth="1"/>
    <col min="15876" max="15876" width="11.5" style="20" customWidth="1"/>
    <col min="15877" max="15878" width="14.125" style="20" customWidth="1"/>
    <col min="15879" max="15880" width="22.75" style="20" customWidth="1"/>
    <col min="15881" max="15881" width="14.5" style="20" customWidth="1"/>
    <col min="15882" max="15882" width="12.125" style="20" customWidth="1"/>
    <col min="15883" max="16129" width="9" style="20"/>
    <col min="16130" max="16130" width="14.75" style="20" customWidth="1"/>
    <col min="16131" max="16131" width="17.25" style="20" customWidth="1"/>
    <col min="16132" max="16132" width="11.5" style="20" customWidth="1"/>
    <col min="16133" max="16134" width="14.125" style="20" customWidth="1"/>
    <col min="16135" max="16136" width="22.75" style="20" customWidth="1"/>
    <col min="16137" max="16137" width="14.5" style="20" customWidth="1"/>
    <col min="16138" max="16138" width="12.125" style="20" customWidth="1"/>
    <col min="16139" max="16384" width="9" style="20"/>
  </cols>
  <sheetData>
    <row r="1" spans="1:17" s="7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6"/>
    </row>
    <row r="2" spans="1:17" s="7" customFormat="1" ht="26.25" customHeight="1" x14ac:dyDescent="0.7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3" t="s">
        <v>5</v>
      </c>
      <c r="J2" s="14"/>
      <c r="K2" s="14"/>
    </row>
    <row r="3" spans="1:17" ht="24" x14ac:dyDescent="0.55000000000000004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9"/>
      <c r="K3" s="19"/>
    </row>
    <row r="4" spans="1:17" ht="138.75" x14ac:dyDescent="0.55000000000000004">
      <c r="A4" s="21" t="s">
        <v>10</v>
      </c>
      <c r="B4" s="22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4" t="s">
        <v>18</v>
      </c>
      <c r="K4" s="24" t="s">
        <v>19</v>
      </c>
    </row>
    <row r="5" spans="1:17" ht="24" customHeight="1" x14ac:dyDescent="0.55000000000000004">
      <c r="A5" s="25">
        <v>1</v>
      </c>
      <c r="B5" s="26" t="s">
        <v>20</v>
      </c>
      <c r="C5" s="26"/>
      <c r="D5" s="27" t="s">
        <v>21</v>
      </c>
      <c r="E5" s="28">
        <f>'[1]รายละเอียด 2.4.3'!T9</f>
        <v>7</v>
      </c>
      <c r="F5" s="29">
        <v>8</v>
      </c>
      <c r="G5" s="30">
        <f>IFERROR(IF(E5&gt;0,ROUND((E5/F5)*100,2),"N/A"),0)</f>
        <v>87.5</v>
      </c>
      <c r="H5" s="31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2" t="str">
        <f>IF(H5=5,"ü","û")</f>
        <v>ü</v>
      </c>
      <c r="J5" s="33">
        <v>100</v>
      </c>
      <c r="K5" s="34" t="s">
        <v>22</v>
      </c>
      <c r="M5" s="35" t="s">
        <v>23</v>
      </c>
      <c r="N5" s="35"/>
      <c r="O5" s="35"/>
      <c r="P5" s="35"/>
      <c r="Q5" s="35">
        <v>5</v>
      </c>
    </row>
    <row r="6" spans="1:17" ht="24" customHeight="1" x14ac:dyDescent="0.55000000000000004">
      <c r="A6" s="25">
        <v>2</v>
      </c>
      <c r="B6" s="26" t="s">
        <v>24</v>
      </c>
      <c r="C6" s="26"/>
      <c r="D6" s="27" t="s">
        <v>21</v>
      </c>
      <c r="E6" s="36">
        <f>'[1]รายละเอียด 2.4.3'!T18</f>
        <v>8</v>
      </c>
      <c r="F6" s="29">
        <v>8</v>
      </c>
      <c r="G6" s="30">
        <f t="shared" ref="G6:G20" si="0">IFERROR(IF(E6&gt;0,ROUND((E6/F6)*100,2),"N/A"),0)</f>
        <v>100</v>
      </c>
      <c r="H6" s="31">
        <f>IF(G6=0,0,IF(G6="N/A",1,IF(G6&lt;=M$7,1,IF(G6=N$7,2,IF(G6&lt;N$7,(((G6-M$7)/Q$5)+1),IF(G6=O$7,3,IF(G6&lt;O$7,(((G6-N$7)/Q$5)+2),IF(G6=P$7,4,IF(G6&lt;P$7,(((G6-O$7)/Q$5)+3),IF(G6&gt;=Q$7,5,IF(G6&lt;Q$7,(((G6-P$7)/Q$5)+4),0)))))))))))</f>
        <v>5</v>
      </c>
      <c r="I6" s="32" t="str">
        <f>IF(H6=5,"ü","û")</f>
        <v>ü</v>
      </c>
      <c r="J6" s="33">
        <v>100</v>
      </c>
      <c r="K6" s="34" t="s">
        <v>25</v>
      </c>
      <c r="M6" s="37" t="s">
        <v>26</v>
      </c>
      <c r="N6" s="37" t="s">
        <v>27</v>
      </c>
      <c r="O6" s="37" t="s">
        <v>28</v>
      </c>
      <c r="P6" s="37" t="s">
        <v>29</v>
      </c>
      <c r="Q6" s="37" t="s">
        <v>30</v>
      </c>
    </row>
    <row r="7" spans="1:17" ht="24" customHeight="1" x14ac:dyDescent="0.55000000000000004">
      <c r="A7" s="25">
        <v>3</v>
      </c>
      <c r="B7" s="26" t="s">
        <v>31</v>
      </c>
      <c r="C7" s="26"/>
      <c r="D7" s="27" t="s">
        <v>21</v>
      </c>
      <c r="E7" s="36">
        <f>'[1]รายละเอียด 2.4.3'!T27</f>
        <v>8</v>
      </c>
      <c r="F7" s="29">
        <v>8</v>
      </c>
      <c r="G7" s="30">
        <f t="shared" si="0"/>
        <v>100</v>
      </c>
      <c r="H7" s="31">
        <f t="shared" ref="H7" si="1">IF(G7=0,0,IF(G7="N/A",1,IF(G7&lt;=M$7,1,IF(G7=N$7,2,IF(G7&lt;N$7,(((G7-M$7)/Q$5)+1),IF(G7=O$7,3,IF(G7&lt;O$7,(((G7-N$7)/Q$5)+2),IF(G7=P$7,4,IF(G7&lt;P$7,(((G7-O$7)/Q$5)+3),IF(G7&gt;=Q$7,5,IF(G7&lt;Q$7,(((G7-P$7)/Q$5)+4),0)))))))))))</f>
        <v>5</v>
      </c>
      <c r="I7" s="32" t="str">
        <f>IF(H7=5,"ü","û")</f>
        <v>ü</v>
      </c>
      <c r="J7" s="33">
        <v>100</v>
      </c>
      <c r="K7" s="34" t="s">
        <v>25</v>
      </c>
      <c r="M7" s="38">
        <v>40</v>
      </c>
      <c r="N7" s="38">
        <v>45</v>
      </c>
      <c r="O7" s="38">
        <v>50</v>
      </c>
      <c r="P7" s="38">
        <v>55</v>
      </c>
      <c r="Q7" s="38">
        <v>60</v>
      </c>
    </row>
    <row r="8" spans="1:17" ht="24" customHeight="1" x14ac:dyDescent="0.55000000000000004">
      <c r="A8" s="25">
        <v>4</v>
      </c>
      <c r="B8" s="26" t="s">
        <v>32</v>
      </c>
      <c r="C8" s="26"/>
      <c r="D8" s="27" t="s">
        <v>21</v>
      </c>
      <c r="E8" s="36">
        <f>'[1]รายละเอียด 2.4.3'!T36</f>
        <v>7</v>
      </c>
      <c r="F8" s="29">
        <v>8</v>
      </c>
      <c r="G8" s="30">
        <f t="shared" si="0"/>
        <v>87.5</v>
      </c>
      <c r="H8" s="31">
        <f>IF(G8=0,0,IF(G8="N/A",1,IF(G8&lt;=M$7,1,IF(G8=N$7,2,IF(G8&lt;N$7,(((G8-M$7)/Q$5)+1),IF(G8=O$7,3,IF(G8&lt;O$7,(((G8-N$7)/Q$5)+2),IF(G8=P$7,4,IF(G8&lt;P$7,(((G8-O$7)/Q$5)+3),IF(G8&gt;=Q$7,5,IF(G8&lt;Q$7,(((G8-P$7)/Q$5)+4),0)))))))))))</f>
        <v>5</v>
      </c>
      <c r="I8" s="32" t="str">
        <f t="shared" ref="I8:I20" si="2">IF(H8=5,"ü","û")</f>
        <v>ü</v>
      </c>
      <c r="J8" s="33">
        <v>100</v>
      </c>
      <c r="K8" s="34" t="s">
        <v>22</v>
      </c>
    </row>
    <row r="9" spans="1:17" ht="24" customHeight="1" x14ac:dyDescent="0.55000000000000004">
      <c r="A9" s="25">
        <v>5</v>
      </c>
      <c r="B9" s="26" t="s">
        <v>33</v>
      </c>
      <c r="C9" s="26"/>
      <c r="D9" s="27" t="s">
        <v>21</v>
      </c>
      <c r="E9" s="36">
        <f>'[1]รายละเอียด 2.4.3'!T45</f>
        <v>8</v>
      </c>
      <c r="F9" s="29">
        <v>8</v>
      </c>
      <c r="G9" s="30">
        <f t="shared" si="0"/>
        <v>100</v>
      </c>
      <c r="H9" s="31">
        <f>IF(G9=0,0,IF(G9="N/A",1,IF(G9&lt;=M$7,1,IF(G9=N$7,2,IF(G9&lt;N$7,(((G9-M$7)/Q$5)+1),IF(G9=O$7,3,IF(G9&lt;O$7,(((G9-N$7)/Q$5)+2),IF(G9=P$7,4,IF(G9&lt;P$7,(((G9-O$7)/Q$5)+3),IF(G9&gt;=Q$7,5,IF(G9&lt;Q$7,(((G9-P$7)/Q$5)+4),0)))))))))))</f>
        <v>5</v>
      </c>
      <c r="I9" s="32" t="str">
        <f t="shared" si="2"/>
        <v>ü</v>
      </c>
      <c r="J9" s="33">
        <v>100</v>
      </c>
      <c r="K9" s="34" t="s">
        <v>25</v>
      </c>
    </row>
    <row r="10" spans="1:17" ht="27" customHeight="1" x14ac:dyDescent="0.55000000000000004">
      <c r="A10" s="39">
        <v>6</v>
      </c>
      <c r="B10" s="26" t="s">
        <v>34</v>
      </c>
      <c r="C10" s="26"/>
      <c r="D10" s="27" t="s">
        <v>21</v>
      </c>
      <c r="E10" s="36">
        <f>'[1]รายละเอียด 2.4.3'!T54</f>
        <v>5</v>
      </c>
      <c r="F10" s="29">
        <v>8</v>
      </c>
      <c r="G10" s="30">
        <f t="shared" si="0"/>
        <v>62.5</v>
      </c>
      <c r="H10" s="31">
        <f t="shared" ref="H10:H19" si="3">IF(G10=0,0,IF(G10="N/A",1,IF(G10&lt;=M$7,1,IF(G10=N$7,2,IF(G10&lt;N$7,(((G10-M$7)/Q$5)+1),IF(G10=O$7,3,IF(G10&lt;O$7,(((G10-N$7)/Q$5)+2),IF(G10=P$7,4,IF(G10&lt;P$7,(((G10-O$7)/Q$5)+3),IF(G10&gt;=Q$7,5,IF(G10&lt;Q$7,(((G10-P$7)/Q$5)+4),0)))))))))))</f>
        <v>5</v>
      </c>
      <c r="I10" s="40" t="str">
        <f t="shared" si="2"/>
        <v>ü</v>
      </c>
      <c r="J10" s="33">
        <v>62.5</v>
      </c>
      <c r="K10" s="34" t="s">
        <v>25</v>
      </c>
    </row>
    <row r="11" spans="1:17" ht="24" customHeight="1" x14ac:dyDescent="0.55000000000000004">
      <c r="A11" s="25">
        <v>7</v>
      </c>
      <c r="B11" s="26" t="s">
        <v>35</v>
      </c>
      <c r="C11" s="41"/>
      <c r="D11" s="27" t="s">
        <v>21</v>
      </c>
      <c r="E11" s="36">
        <f>'[1]รายละเอียด 2.4.3'!T72</f>
        <v>8</v>
      </c>
      <c r="F11" s="29">
        <v>8</v>
      </c>
      <c r="G11" s="30">
        <f t="shared" si="0"/>
        <v>100</v>
      </c>
      <c r="H11" s="31">
        <f t="shared" si="3"/>
        <v>5</v>
      </c>
      <c r="I11" s="32" t="str">
        <f t="shared" si="2"/>
        <v>ü</v>
      </c>
      <c r="J11" s="33">
        <v>87.5</v>
      </c>
      <c r="K11" s="34" t="s">
        <v>36</v>
      </c>
    </row>
    <row r="12" spans="1:17" ht="24" customHeight="1" x14ac:dyDescent="0.55000000000000004">
      <c r="A12" s="25">
        <v>8</v>
      </c>
      <c r="B12" s="26" t="s">
        <v>37</v>
      </c>
      <c r="C12" s="41"/>
      <c r="D12" s="27" t="s">
        <v>21</v>
      </c>
      <c r="E12" s="36">
        <f>'[1]รายละเอียด 2.4.3'!T81</f>
        <v>5</v>
      </c>
      <c r="F12" s="29">
        <v>8</v>
      </c>
      <c r="G12" s="30">
        <f t="shared" si="0"/>
        <v>62.5</v>
      </c>
      <c r="H12" s="31">
        <f t="shared" si="3"/>
        <v>5</v>
      </c>
      <c r="I12" s="32" t="str">
        <f t="shared" si="2"/>
        <v>ü</v>
      </c>
      <c r="J12" s="33">
        <v>25</v>
      </c>
      <c r="K12" s="34" t="s">
        <v>36</v>
      </c>
    </row>
    <row r="13" spans="1:17" ht="24" customHeight="1" x14ac:dyDescent="0.55000000000000004">
      <c r="A13" s="25">
        <v>9</v>
      </c>
      <c r="B13" s="26" t="s">
        <v>38</v>
      </c>
      <c r="C13" s="41"/>
      <c r="D13" s="27" t="s">
        <v>21</v>
      </c>
      <c r="E13" s="36">
        <f>'[1]รายละเอียด 2.4.3'!T90</f>
        <v>8</v>
      </c>
      <c r="F13" s="29">
        <v>8</v>
      </c>
      <c r="G13" s="30">
        <f t="shared" si="0"/>
        <v>100</v>
      </c>
      <c r="H13" s="31">
        <f t="shared" si="3"/>
        <v>5</v>
      </c>
      <c r="I13" s="32" t="str">
        <f t="shared" si="2"/>
        <v>ü</v>
      </c>
      <c r="J13" s="33">
        <v>100</v>
      </c>
      <c r="K13" s="34" t="s">
        <v>25</v>
      </c>
    </row>
    <row r="14" spans="1:17" ht="24" customHeight="1" x14ac:dyDescent="0.55000000000000004">
      <c r="A14" s="25">
        <v>10</v>
      </c>
      <c r="B14" s="26" t="s">
        <v>39</v>
      </c>
      <c r="C14" s="41"/>
      <c r="D14" s="27" t="s">
        <v>21</v>
      </c>
      <c r="E14" s="36">
        <f>'[1]รายละเอียด 2.4.3'!T108</f>
        <v>8</v>
      </c>
      <c r="F14" s="29">
        <v>8</v>
      </c>
      <c r="G14" s="30">
        <f t="shared" si="0"/>
        <v>100</v>
      </c>
      <c r="H14" s="31">
        <f t="shared" si="3"/>
        <v>5</v>
      </c>
      <c r="I14" s="32" t="str">
        <f t="shared" si="2"/>
        <v>ü</v>
      </c>
      <c r="J14" s="33">
        <v>100</v>
      </c>
      <c r="K14" s="34" t="s">
        <v>25</v>
      </c>
    </row>
    <row r="15" spans="1:17" ht="24" customHeight="1" x14ac:dyDescent="0.55000000000000004">
      <c r="A15" s="25">
        <v>11</v>
      </c>
      <c r="B15" s="42" t="s">
        <v>40</v>
      </c>
      <c r="C15" s="43"/>
      <c r="D15" s="27" t="s">
        <v>21</v>
      </c>
      <c r="E15" s="36">
        <f>'[1]รายละเอียด 2.4.3'!T117</f>
        <v>6</v>
      </c>
      <c r="F15" s="29">
        <v>8</v>
      </c>
      <c r="G15" s="30">
        <f t="shared" si="0"/>
        <v>75</v>
      </c>
      <c r="H15" s="31">
        <f t="shared" si="3"/>
        <v>5</v>
      </c>
      <c r="I15" s="32" t="str">
        <f t="shared" si="2"/>
        <v>ü</v>
      </c>
      <c r="J15" s="33">
        <v>75</v>
      </c>
      <c r="K15" s="34" t="s">
        <v>25</v>
      </c>
    </row>
    <row r="16" spans="1:17" ht="24" customHeight="1" x14ac:dyDescent="0.55000000000000004">
      <c r="A16" s="25">
        <v>12</v>
      </c>
      <c r="B16" s="42" t="s">
        <v>41</v>
      </c>
      <c r="C16" s="43"/>
      <c r="D16" s="27" t="s">
        <v>21</v>
      </c>
      <c r="E16" s="36">
        <f>'[1]รายละเอียด 2.4.3'!T126</f>
        <v>8</v>
      </c>
      <c r="F16" s="29">
        <v>8</v>
      </c>
      <c r="G16" s="30">
        <f t="shared" si="0"/>
        <v>100</v>
      </c>
      <c r="H16" s="31">
        <f t="shared" si="3"/>
        <v>5</v>
      </c>
      <c r="I16" s="32" t="str">
        <f>IF(H16=5,"ü","û")</f>
        <v>ü</v>
      </c>
      <c r="J16" s="33">
        <v>100</v>
      </c>
      <c r="K16" s="34" t="s">
        <v>25</v>
      </c>
    </row>
    <row r="17" spans="1:11" ht="24" customHeight="1" x14ac:dyDescent="0.55000000000000004">
      <c r="A17" s="25">
        <v>13</v>
      </c>
      <c r="B17" s="42" t="s">
        <v>42</v>
      </c>
      <c r="C17" s="43"/>
      <c r="D17" s="27" t="s">
        <v>21</v>
      </c>
      <c r="E17" s="36">
        <f>'[1]รายละเอียด 2.4.3'!T63</f>
        <v>7</v>
      </c>
      <c r="F17" s="29">
        <v>8</v>
      </c>
      <c r="G17" s="30">
        <f t="shared" si="0"/>
        <v>87.5</v>
      </c>
      <c r="H17" s="31">
        <f t="shared" si="3"/>
        <v>5</v>
      </c>
      <c r="I17" s="32" t="str">
        <f t="shared" si="2"/>
        <v>ü</v>
      </c>
      <c r="J17" s="33">
        <v>87.5</v>
      </c>
      <c r="K17" s="34" t="s">
        <v>25</v>
      </c>
    </row>
    <row r="18" spans="1:11" ht="24" customHeight="1" x14ac:dyDescent="0.55000000000000004">
      <c r="A18" s="25">
        <v>14</v>
      </c>
      <c r="B18" s="42" t="s">
        <v>43</v>
      </c>
      <c r="C18" s="43"/>
      <c r="D18" s="27" t="s">
        <v>21</v>
      </c>
      <c r="E18" s="36">
        <f>'[1]รายละเอียด 2.4.3'!T99</f>
        <v>8</v>
      </c>
      <c r="F18" s="29">
        <v>8</v>
      </c>
      <c r="G18" s="30">
        <f t="shared" si="0"/>
        <v>100</v>
      </c>
      <c r="H18" s="31">
        <f>IF(G18=0,0,IF(G18="N/A",1,IF(G18&lt;=M$7,1,IF(G18=N$7,2,IF(G18&lt;N$7,(((G18-M$7)/Q$5)+1),IF(G18=O$7,3,IF(G18&lt;O$7,(((G18-N$7)/Q$5)+2),IF(G18=P$7,4,IF(G18&lt;P$7,(((G18-O$7)/Q$5)+3),IF(G18&gt;=Q$7,5,IF(G18&lt;Q$7,(((G18-P$7)/Q$5)+4),0)))))))))))</f>
        <v>5</v>
      </c>
      <c r="I18" s="32" t="str">
        <f t="shared" si="2"/>
        <v>ü</v>
      </c>
      <c r="J18" s="33">
        <v>100</v>
      </c>
      <c r="K18" s="34" t="s">
        <v>25</v>
      </c>
    </row>
    <row r="19" spans="1:11" ht="24" customHeight="1" x14ac:dyDescent="0.55000000000000004">
      <c r="A19" s="25">
        <v>15</v>
      </c>
      <c r="B19" s="42" t="s">
        <v>44</v>
      </c>
      <c r="C19" s="43"/>
      <c r="D19" s="27" t="s">
        <v>21</v>
      </c>
      <c r="E19" s="36">
        <f>'[1]รายละเอียด 2.4.3'!T135</f>
        <v>3</v>
      </c>
      <c r="F19" s="29">
        <v>3</v>
      </c>
      <c r="G19" s="30">
        <f t="shared" si="0"/>
        <v>100</v>
      </c>
      <c r="H19" s="31">
        <f t="shared" si="3"/>
        <v>5</v>
      </c>
      <c r="I19" s="32" t="str">
        <f t="shared" si="2"/>
        <v>ü</v>
      </c>
      <c r="J19" s="44"/>
      <c r="K19" s="45" t="s">
        <v>45</v>
      </c>
    </row>
    <row r="20" spans="1:11" ht="27.75" x14ac:dyDescent="0.65">
      <c r="A20" s="46" t="s">
        <v>46</v>
      </c>
      <c r="B20" s="47"/>
      <c r="C20" s="48"/>
      <c r="D20" s="23" t="s">
        <v>21</v>
      </c>
      <c r="E20" s="21">
        <f>SUM(E5:E19)</f>
        <v>104</v>
      </c>
      <c r="F20" s="21">
        <f>SUM(F5:F19)</f>
        <v>115</v>
      </c>
      <c r="G20" s="49">
        <f t="shared" si="0"/>
        <v>90.43</v>
      </c>
      <c r="H20" s="50">
        <f>IF(G20=0,0,IF(G20="N/A",1,IF(G20&lt;=M$7,1,IF(G20=N$7,2,IF(G20&lt;N$7,(((G20-M$7)/Q$5)+1),IF(G20=O$7,3,IF(G20&lt;O$7,(((E20-N$7)/Q$5)+2),IF(E20=P$7,4,IF(E20&lt;P$7,(((E20-O$7)/Q$5)+3),IF(E20&gt;=Q$7,5,IF(E20&lt;Q$7,(((E20-P$7)/Q$5)+4),0)))))))))))</f>
        <v>5</v>
      </c>
      <c r="I20" s="51" t="str">
        <f t="shared" si="2"/>
        <v>ü</v>
      </c>
      <c r="J20" s="52"/>
      <c r="K20" s="52"/>
    </row>
    <row r="22" spans="1:11" ht="26.25" customHeight="1" x14ac:dyDescent="0.55000000000000004">
      <c r="A22" s="53" t="s">
        <v>47</v>
      </c>
      <c r="B22" s="53"/>
      <c r="C22" s="54" t="s">
        <v>48</v>
      </c>
      <c r="D22" s="54"/>
      <c r="E22" s="54"/>
      <c r="F22" s="54"/>
      <c r="G22" s="55" t="s">
        <v>2</v>
      </c>
      <c r="H22" s="55" t="s">
        <v>49</v>
      </c>
      <c r="I22" s="55" t="s">
        <v>17</v>
      </c>
      <c r="J22" s="56" t="s">
        <v>18</v>
      </c>
      <c r="K22" s="57" t="s">
        <v>19</v>
      </c>
    </row>
    <row r="23" spans="1:11" ht="27.75" x14ac:dyDescent="0.55000000000000004">
      <c r="A23" s="53"/>
      <c r="B23" s="53"/>
      <c r="C23" s="54"/>
      <c r="D23" s="54"/>
      <c r="E23" s="54"/>
      <c r="F23" s="54"/>
      <c r="G23" s="58">
        <v>5</v>
      </c>
      <c r="H23" s="59">
        <v>5</v>
      </c>
      <c r="I23" s="32" t="str">
        <f t="shared" ref="I23" si="4">IF(H23=5,"ü","û")</f>
        <v>ü</v>
      </c>
      <c r="J23" s="60">
        <v>5</v>
      </c>
      <c r="K23" s="61" t="s">
        <v>45</v>
      </c>
    </row>
    <row r="31" spans="1:11" ht="69.75" x14ac:dyDescent="0.55000000000000004">
      <c r="A31" s="20" t="str">
        <f t="shared" ref="A31:G46" si="5">A4</f>
        <v>ลำดับ</v>
      </c>
      <c r="B31" s="20" t="str">
        <f t="shared" si="5"/>
        <v>หน่วยงาน</v>
      </c>
      <c r="C31" s="20" t="s">
        <v>11</v>
      </c>
      <c r="D31" s="20" t="str">
        <f t="shared" si="5"/>
        <v>เป้าหมาย</v>
      </c>
      <c r="E31" s="62" t="s">
        <v>50</v>
      </c>
      <c r="F31" s="23" t="s">
        <v>51</v>
      </c>
      <c r="G31" s="20" t="s">
        <v>52</v>
      </c>
    </row>
    <row r="32" spans="1:11" x14ac:dyDescent="0.55000000000000004">
      <c r="A32" s="20">
        <f t="shared" si="5"/>
        <v>1</v>
      </c>
      <c r="B32" s="20" t="str">
        <f t="shared" si="5"/>
        <v>2) คณะวิทยาศาสตร์และเทคโนโลยี</v>
      </c>
      <c r="C32" s="20" t="s">
        <v>53</v>
      </c>
      <c r="D32" s="20" t="str">
        <f t="shared" si="5"/>
        <v>≥ 60.00</v>
      </c>
      <c r="E32" s="20">
        <f t="shared" si="5"/>
        <v>7</v>
      </c>
      <c r="F32" s="20">
        <f t="shared" si="5"/>
        <v>8</v>
      </c>
      <c r="G32" s="20">
        <f t="shared" si="5"/>
        <v>87.5</v>
      </c>
    </row>
    <row r="33" spans="1:7" x14ac:dyDescent="0.55000000000000004">
      <c r="A33" s="20">
        <f t="shared" si="5"/>
        <v>2</v>
      </c>
      <c r="B33" s="20" t="str">
        <f t="shared" si="5"/>
        <v>3) คณะมนุษยศาสตร์และสังคมศาสตร์</v>
      </c>
      <c r="C33" s="20" t="s">
        <v>54</v>
      </c>
      <c r="D33" s="20" t="str">
        <f t="shared" si="5"/>
        <v>≥ 60.00</v>
      </c>
      <c r="E33" s="20">
        <f t="shared" si="5"/>
        <v>8</v>
      </c>
      <c r="F33" s="20">
        <f t="shared" si="5"/>
        <v>8</v>
      </c>
      <c r="G33" s="20">
        <f t="shared" si="5"/>
        <v>100</v>
      </c>
    </row>
    <row r="34" spans="1:7" x14ac:dyDescent="0.55000000000000004">
      <c r="A34" s="20">
        <f t="shared" si="5"/>
        <v>3</v>
      </c>
      <c r="B34" s="20" t="str">
        <f t="shared" si="5"/>
        <v>4) คณะวิทยาการจัดการ</v>
      </c>
      <c r="C34" s="20" t="s">
        <v>55</v>
      </c>
      <c r="D34" s="20" t="str">
        <f t="shared" si="5"/>
        <v>≥ 60.00</v>
      </c>
      <c r="E34" s="20">
        <f t="shared" si="5"/>
        <v>8</v>
      </c>
      <c r="F34" s="20">
        <f t="shared" si="5"/>
        <v>8</v>
      </c>
      <c r="G34" s="20">
        <f t="shared" si="5"/>
        <v>100</v>
      </c>
    </row>
    <row r="35" spans="1:7" x14ac:dyDescent="0.55000000000000004">
      <c r="A35" s="20">
        <f t="shared" si="5"/>
        <v>4</v>
      </c>
      <c r="B35" s="20" t="str">
        <f t="shared" si="5"/>
        <v>5) คณะเทคโนโลยีอุตสาหกรรม</v>
      </c>
      <c r="C35" s="20" t="s">
        <v>56</v>
      </c>
      <c r="D35" s="20" t="str">
        <f t="shared" si="5"/>
        <v>≥ 60.00</v>
      </c>
      <c r="E35" s="20">
        <f t="shared" si="5"/>
        <v>7</v>
      </c>
      <c r="F35" s="20">
        <f t="shared" si="5"/>
        <v>8</v>
      </c>
      <c r="G35" s="20">
        <f t="shared" si="5"/>
        <v>87.5</v>
      </c>
    </row>
    <row r="36" spans="1:7" x14ac:dyDescent="0.55000000000000004">
      <c r="A36" s="20">
        <f t="shared" si="5"/>
        <v>5</v>
      </c>
      <c r="B36" s="20" t="str">
        <f t="shared" si="5"/>
        <v>6) คณะศิลปกรรมศาสตร์</v>
      </c>
      <c r="C36" s="20" t="s">
        <v>57</v>
      </c>
      <c r="D36" s="20" t="str">
        <f t="shared" si="5"/>
        <v>≥ 60.00</v>
      </c>
      <c r="E36" s="20">
        <f t="shared" si="5"/>
        <v>8</v>
      </c>
      <c r="F36" s="20">
        <f t="shared" si="5"/>
        <v>8</v>
      </c>
      <c r="G36" s="20">
        <f t="shared" si="5"/>
        <v>100</v>
      </c>
    </row>
    <row r="37" spans="1:7" x14ac:dyDescent="0.55000000000000004">
      <c r="A37" s="20">
        <f t="shared" si="5"/>
        <v>6</v>
      </c>
      <c r="B37" s="20" t="str">
        <f t="shared" si="5"/>
        <v>7) บัณฑิตวิทยาลัย</v>
      </c>
      <c r="C37" s="20" t="s">
        <v>58</v>
      </c>
      <c r="D37" s="20" t="str">
        <f t="shared" si="5"/>
        <v>≥ 60.00</v>
      </c>
      <c r="E37" s="20">
        <f t="shared" si="5"/>
        <v>5</v>
      </c>
      <c r="F37" s="20">
        <f t="shared" si="5"/>
        <v>8</v>
      </c>
      <c r="G37" s="20">
        <f t="shared" si="5"/>
        <v>62.5</v>
      </c>
    </row>
    <row r="38" spans="1:7" x14ac:dyDescent="0.55000000000000004">
      <c r="A38" s="20">
        <f t="shared" si="5"/>
        <v>7</v>
      </c>
      <c r="B38" s="20" t="str">
        <f t="shared" si="5"/>
        <v>8) วิทยาลัยนวัตกรรมและการจัดการ</v>
      </c>
      <c r="C38" s="20" t="s">
        <v>59</v>
      </c>
      <c r="D38" s="20" t="str">
        <f t="shared" si="5"/>
        <v>≥ 60.00</v>
      </c>
      <c r="E38" s="20">
        <f t="shared" si="5"/>
        <v>8</v>
      </c>
      <c r="F38" s="20">
        <f t="shared" si="5"/>
        <v>8</v>
      </c>
      <c r="G38" s="20">
        <f t="shared" si="5"/>
        <v>100</v>
      </c>
    </row>
    <row r="39" spans="1:7" x14ac:dyDescent="0.55000000000000004">
      <c r="A39" s="20">
        <f t="shared" si="5"/>
        <v>8</v>
      </c>
      <c r="B39" s="20" t="str">
        <f t="shared" si="5"/>
        <v>9) วิทยาลัยพยาบาลและสุขภาพ</v>
      </c>
      <c r="C39" s="20" t="s">
        <v>60</v>
      </c>
      <c r="D39" s="20" t="str">
        <f t="shared" si="5"/>
        <v>≥ 60.00</v>
      </c>
      <c r="E39" s="20">
        <f t="shared" si="5"/>
        <v>5</v>
      </c>
      <c r="F39" s="20">
        <f t="shared" si="5"/>
        <v>8</v>
      </c>
      <c r="G39" s="20">
        <f t="shared" si="5"/>
        <v>62.5</v>
      </c>
    </row>
    <row r="40" spans="1:7" x14ac:dyDescent="0.55000000000000004">
      <c r="A40" s="20">
        <f t="shared" si="5"/>
        <v>9</v>
      </c>
      <c r="B40" s="20" t="str">
        <f t="shared" si="5"/>
        <v>10) วิทยาลัยสหเวชศาสตร์</v>
      </c>
      <c r="C40" s="20" t="s">
        <v>61</v>
      </c>
      <c r="D40" s="20" t="str">
        <f t="shared" si="5"/>
        <v>≥ 60.00</v>
      </c>
      <c r="E40" s="20">
        <f t="shared" si="5"/>
        <v>8</v>
      </c>
      <c r="F40" s="20">
        <f t="shared" si="5"/>
        <v>8</v>
      </c>
      <c r="G40" s="20">
        <f t="shared" si="5"/>
        <v>100</v>
      </c>
    </row>
    <row r="41" spans="1:7" x14ac:dyDescent="0.55000000000000004">
      <c r="A41" s="20">
        <f t="shared" si="5"/>
        <v>10</v>
      </c>
      <c r="B41" s="20" t="str">
        <f t="shared" si="5"/>
        <v xml:space="preserve">11) วิทยาลัยโลจิสติกส์และซัพพลายเชน </v>
      </c>
      <c r="C41" s="20" t="s">
        <v>62</v>
      </c>
      <c r="D41" s="20" t="str">
        <f t="shared" si="5"/>
        <v>≥ 60.00</v>
      </c>
      <c r="E41" s="20">
        <f t="shared" si="5"/>
        <v>8</v>
      </c>
      <c r="F41" s="20">
        <f t="shared" si="5"/>
        <v>8</v>
      </c>
      <c r="G41" s="20">
        <f t="shared" si="5"/>
        <v>100</v>
      </c>
    </row>
    <row r="42" spans="1:7" x14ac:dyDescent="0.55000000000000004">
      <c r="A42" s="20">
        <f t="shared" si="5"/>
        <v>11</v>
      </c>
      <c r="B42" s="20" t="str">
        <f t="shared" si="5"/>
        <v>12) วิทยาลัยสถาปัตยกรรมศาสตร์</v>
      </c>
      <c r="C42" s="20" t="s">
        <v>63</v>
      </c>
      <c r="D42" s="20" t="str">
        <f t="shared" si="5"/>
        <v>≥ 60.00</v>
      </c>
      <c r="E42" s="20">
        <f t="shared" si="5"/>
        <v>6</v>
      </c>
      <c r="F42" s="20">
        <f t="shared" si="5"/>
        <v>8</v>
      </c>
      <c r="G42" s="20">
        <f t="shared" si="5"/>
        <v>75</v>
      </c>
    </row>
    <row r="43" spans="1:7" x14ac:dyDescent="0.55000000000000004">
      <c r="A43" s="20">
        <f t="shared" si="5"/>
        <v>12</v>
      </c>
      <c r="B43" s="20" t="str">
        <f t="shared" si="5"/>
        <v>13) วิทยาลัยการเมืองการปกครอง</v>
      </c>
      <c r="C43" s="20" t="s">
        <v>64</v>
      </c>
      <c r="D43" s="20" t="str">
        <f t="shared" si="5"/>
        <v>≥ 60.00</v>
      </c>
      <c r="E43" s="20">
        <f t="shared" si="5"/>
        <v>8</v>
      </c>
      <c r="F43" s="20">
        <f t="shared" si="5"/>
        <v>8</v>
      </c>
      <c r="G43" s="20">
        <f t="shared" si="5"/>
        <v>100</v>
      </c>
    </row>
    <row r="44" spans="1:7" x14ac:dyDescent="0.55000000000000004">
      <c r="A44" s="20">
        <f t="shared" si="5"/>
        <v>13</v>
      </c>
      <c r="B44" s="20" t="str">
        <f t="shared" si="5"/>
        <v>14) วิทยาลัยการจัดการอุตสาหกรรมบริการ</v>
      </c>
      <c r="C44" s="20" t="s">
        <v>65</v>
      </c>
      <c r="D44" s="20" t="str">
        <f t="shared" si="5"/>
        <v>≥ 60.00</v>
      </c>
      <c r="E44" s="20">
        <f t="shared" si="5"/>
        <v>7</v>
      </c>
      <c r="F44" s="20">
        <f t="shared" si="5"/>
        <v>8</v>
      </c>
      <c r="G44" s="20">
        <f t="shared" si="5"/>
        <v>87.5</v>
      </c>
    </row>
    <row r="45" spans="1:7" x14ac:dyDescent="0.55000000000000004">
      <c r="A45" s="20">
        <f t="shared" si="5"/>
        <v>14</v>
      </c>
      <c r="B45" s="20" t="str">
        <f t="shared" si="5"/>
        <v>14) วิทยาลัยนิเทศศาสตร์</v>
      </c>
      <c r="C45" s="20" t="s">
        <v>66</v>
      </c>
      <c r="D45" s="20" t="str">
        <f t="shared" si="5"/>
        <v>≥ 60.00</v>
      </c>
      <c r="E45" s="20">
        <f t="shared" si="5"/>
        <v>8</v>
      </c>
      <c r="F45" s="20">
        <f t="shared" si="5"/>
        <v>8</v>
      </c>
      <c r="G45" s="20">
        <f t="shared" si="5"/>
        <v>100</v>
      </c>
    </row>
    <row r="46" spans="1:7" x14ac:dyDescent="0.55000000000000004">
      <c r="A46" s="20">
        <f t="shared" si="5"/>
        <v>15</v>
      </c>
      <c r="B46" s="20" t="str">
        <f t="shared" si="5"/>
        <v>20) สถาบันวิจัยและพัฒนา</v>
      </c>
      <c r="C46" s="20" t="s">
        <v>67</v>
      </c>
      <c r="D46" s="20" t="str">
        <f t="shared" si="5"/>
        <v>≥ 60.00</v>
      </c>
      <c r="E46" s="20">
        <f t="shared" si="5"/>
        <v>3</v>
      </c>
      <c r="F46" s="20">
        <f t="shared" si="5"/>
        <v>3</v>
      </c>
      <c r="G46" s="20">
        <f t="shared" si="5"/>
        <v>100</v>
      </c>
    </row>
    <row r="47" spans="1:7" x14ac:dyDescent="0.55000000000000004">
      <c r="A47" s="20" t="str">
        <f t="shared" ref="A47:G47" si="6">A20</f>
        <v>รวม</v>
      </c>
      <c r="C47" s="20" t="s">
        <v>68</v>
      </c>
      <c r="D47" s="20" t="str">
        <f t="shared" si="6"/>
        <v>≥ 60.00</v>
      </c>
      <c r="E47" s="20">
        <f t="shared" si="6"/>
        <v>104</v>
      </c>
      <c r="F47" s="20">
        <f t="shared" si="6"/>
        <v>115</v>
      </c>
      <c r="G47" s="20">
        <f t="shared" si="6"/>
        <v>90.43</v>
      </c>
    </row>
  </sheetData>
  <mergeCells count="22">
    <mergeCell ref="B19:C19"/>
    <mergeCell ref="A20:C20"/>
    <mergeCell ref="A22:B23"/>
    <mergeCell ref="C22:F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B1"/>
    <mergeCell ref="A2:B2"/>
    <mergeCell ref="E3:I3"/>
    <mergeCell ref="B4:C4"/>
    <mergeCell ref="B5:C5"/>
    <mergeCell ref="B6:C6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7"/>
  <sheetViews>
    <sheetView topLeftCell="A122" zoomScale="60" zoomScaleNormal="60" zoomScaleSheetLayoutView="100" workbookViewId="0">
      <selection activeCell="H12" sqref="H12"/>
    </sheetView>
  </sheetViews>
  <sheetFormatPr defaultRowHeight="23.25" x14ac:dyDescent="0.55000000000000004"/>
  <cols>
    <col min="1" max="1" width="9" style="213"/>
    <col min="2" max="2" width="17.875" style="214" customWidth="1"/>
    <col min="3" max="3" width="17.25" style="214" customWidth="1"/>
    <col min="4" max="4" width="28.625" style="214" customWidth="1"/>
    <col min="5" max="8" width="6.125" style="214" hidden="1" customWidth="1"/>
    <col min="9" max="9" width="22.5" style="215" customWidth="1"/>
    <col min="10" max="10" width="29.875" style="216" customWidth="1"/>
    <col min="11" max="11" width="23.5" style="214" customWidth="1"/>
    <col min="12" max="12" width="12" style="214" customWidth="1"/>
    <col min="13" max="14" width="10.5" style="214" customWidth="1"/>
    <col min="15" max="15" width="12.75" style="214" customWidth="1"/>
    <col min="16" max="17" width="10.5" style="214" customWidth="1"/>
    <col min="18" max="18" width="15.75" style="214" customWidth="1"/>
    <col min="19" max="19" width="31.25" style="214" customWidth="1"/>
    <col min="20" max="20" width="21.125" style="214" customWidth="1"/>
    <col min="21" max="21" width="14.75" style="214" customWidth="1"/>
    <col min="22" max="262" width="9" style="214"/>
    <col min="263" max="263" width="14.75" style="214" customWidth="1"/>
    <col min="264" max="264" width="17.25" style="214" customWidth="1"/>
    <col min="265" max="265" width="11.5" style="214" customWidth="1"/>
    <col min="266" max="267" width="14.125" style="214" customWidth="1"/>
    <col min="268" max="269" width="22.75" style="214" customWidth="1"/>
    <col min="270" max="270" width="14.5" style="214" customWidth="1"/>
    <col min="271" max="271" width="12.125" style="214" customWidth="1"/>
    <col min="272" max="518" width="9" style="214"/>
    <col min="519" max="519" width="14.75" style="214" customWidth="1"/>
    <col min="520" max="520" width="17.25" style="214" customWidth="1"/>
    <col min="521" max="521" width="11.5" style="214" customWidth="1"/>
    <col min="522" max="523" width="14.125" style="214" customWidth="1"/>
    <col min="524" max="525" width="22.75" style="214" customWidth="1"/>
    <col min="526" max="526" width="14.5" style="214" customWidth="1"/>
    <col min="527" max="527" width="12.125" style="214" customWidth="1"/>
    <col min="528" max="774" width="9" style="214"/>
    <col min="775" max="775" width="14.75" style="214" customWidth="1"/>
    <col min="776" max="776" width="17.25" style="214" customWidth="1"/>
    <col min="777" max="777" width="11.5" style="214" customWidth="1"/>
    <col min="778" max="779" width="14.125" style="214" customWidth="1"/>
    <col min="780" max="781" width="22.75" style="214" customWidth="1"/>
    <col min="782" max="782" width="14.5" style="214" customWidth="1"/>
    <col min="783" max="783" width="12.125" style="214" customWidth="1"/>
    <col min="784" max="1030" width="9" style="214"/>
    <col min="1031" max="1031" width="14.75" style="214" customWidth="1"/>
    <col min="1032" max="1032" width="17.25" style="214" customWidth="1"/>
    <col min="1033" max="1033" width="11.5" style="214" customWidth="1"/>
    <col min="1034" max="1035" width="14.125" style="214" customWidth="1"/>
    <col min="1036" max="1037" width="22.75" style="214" customWidth="1"/>
    <col min="1038" max="1038" width="14.5" style="214" customWidth="1"/>
    <col min="1039" max="1039" width="12.125" style="214" customWidth="1"/>
    <col min="1040" max="1286" width="9" style="214"/>
    <col min="1287" max="1287" width="14.75" style="214" customWidth="1"/>
    <col min="1288" max="1288" width="17.25" style="214" customWidth="1"/>
    <col min="1289" max="1289" width="11.5" style="214" customWidth="1"/>
    <col min="1290" max="1291" width="14.125" style="214" customWidth="1"/>
    <col min="1292" max="1293" width="22.75" style="214" customWidth="1"/>
    <col min="1294" max="1294" width="14.5" style="214" customWidth="1"/>
    <col min="1295" max="1295" width="12.125" style="214" customWidth="1"/>
    <col min="1296" max="1542" width="9" style="214"/>
    <col min="1543" max="1543" width="14.75" style="214" customWidth="1"/>
    <col min="1544" max="1544" width="17.25" style="214" customWidth="1"/>
    <col min="1545" max="1545" width="11.5" style="214" customWidth="1"/>
    <col min="1546" max="1547" width="14.125" style="214" customWidth="1"/>
    <col min="1548" max="1549" width="22.75" style="214" customWidth="1"/>
    <col min="1550" max="1550" width="14.5" style="214" customWidth="1"/>
    <col min="1551" max="1551" width="12.125" style="214" customWidth="1"/>
    <col min="1552" max="1798" width="9" style="214"/>
    <col min="1799" max="1799" width="14.75" style="214" customWidth="1"/>
    <col min="1800" max="1800" width="17.25" style="214" customWidth="1"/>
    <col min="1801" max="1801" width="11.5" style="214" customWidth="1"/>
    <col min="1802" max="1803" width="14.125" style="214" customWidth="1"/>
    <col min="1804" max="1805" width="22.75" style="214" customWidth="1"/>
    <col min="1806" max="1806" width="14.5" style="214" customWidth="1"/>
    <col min="1807" max="1807" width="12.125" style="214" customWidth="1"/>
    <col min="1808" max="2054" width="9" style="214"/>
    <col min="2055" max="2055" width="14.75" style="214" customWidth="1"/>
    <col min="2056" max="2056" width="17.25" style="214" customWidth="1"/>
    <col min="2057" max="2057" width="11.5" style="214" customWidth="1"/>
    <col min="2058" max="2059" width="14.125" style="214" customWidth="1"/>
    <col min="2060" max="2061" width="22.75" style="214" customWidth="1"/>
    <col min="2062" max="2062" width="14.5" style="214" customWidth="1"/>
    <col min="2063" max="2063" width="12.125" style="214" customWidth="1"/>
    <col min="2064" max="2310" width="9" style="214"/>
    <col min="2311" max="2311" width="14.75" style="214" customWidth="1"/>
    <col min="2312" max="2312" width="17.25" style="214" customWidth="1"/>
    <col min="2313" max="2313" width="11.5" style="214" customWidth="1"/>
    <col min="2314" max="2315" width="14.125" style="214" customWidth="1"/>
    <col min="2316" max="2317" width="22.75" style="214" customWidth="1"/>
    <col min="2318" max="2318" width="14.5" style="214" customWidth="1"/>
    <col min="2319" max="2319" width="12.125" style="214" customWidth="1"/>
    <col min="2320" max="2566" width="9" style="214"/>
    <col min="2567" max="2567" width="14.75" style="214" customWidth="1"/>
    <col min="2568" max="2568" width="17.25" style="214" customWidth="1"/>
    <col min="2569" max="2569" width="11.5" style="214" customWidth="1"/>
    <col min="2570" max="2571" width="14.125" style="214" customWidth="1"/>
    <col min="2572" max="2573" width="22.75" style="214" customWidth="1"/>
    <col min="2574" max="2574" width="14.5" style="214" customWidth="1"/>
    <col min="2575" max="2575" width="12.125" style="214" customWidth="1"/>
    <col min="2576" max="2822" width="9" style="214"/>
    <col min="2823" max="2823" width="14.75" style="214" customWidth="1"/>
    <col min="2824" max="2824" width="17.25" style="214" customWidth="1"/>
    <col min="2825" max="2825" width="11.5" style="214" customWidth="1"/>
    <col min="2826" max="2827" width="14.125" style="214" customWidth="1"/>
    <col min="2828" max="2829" width="22.75" style="214" customWidth="1"/>
    <col min="2830" max="2830" width="14.5" style="214" customWidth="1"/>
    <col min="2831" max="2831" width="12.125" style="214" customWidth="1"/>
    <col min="2832" max="3078" width="9" style="214"/>
    <col min="3079" max="3079" width="14.75" style="214" customWidth="1"/>
    <col min="3080" max="3080" width="17.25" style="214" customWidth="1"/>
    <col min="3081" max="3081" width="11.5" style="214" customWidth="1"/>
    <col min="3082" max="3083" width="14.125" style="214" customWidth="1"/>
    <col min="3084" max="3085" width="22.75" style="214" customWidth="1"/>
    <col min="3086" max="3086" width="14.5" style="214" customWidth="1"/>
    <col min="3087" max="3087" width="12.125" style="214" customWidth="1"/>
    <col min="3088" max="3334" width="9" style="214"/>
    <col min="3335" max="3335" width="14.75" style="214" customWidth="1"/>
    <col min="3336" max="3336" width="17.25" style="214" customWidth="1"/>
    <col min="3337" max="3337" width="11.5" style="214" customWidth="1"/>
    <col min="3338" max="3339" width="14.125" style="214" customWidth="1"/>
    <col min="3340" max="3341" width="22.75" style="214" customWidth="1"/>
    <col min="3342" max="3342" width="14.5" style="214" customWidth="1"/>
    <col min="3343" max="3343" width="12.125" style="214" customWidth="1"/>
    <col min="3344" max="3590" width="9" style="214"/>
    <col min="3591" max="3591" width="14.75" style="214" customWidth="1"/>
    <col min="3592" max="3592" width="17.25" style="214" customWidth="1"/>
    <col min="3593" max="3593" width="11.5" style="214" customWidth="1"/>
    <col min="3594" max="3595" width="14.125" style="214" customWidth="1"/>
    <col min="3596" max="3597" width="22.75" style="214" customWidth="1"/>
    <col min="3598" max="3598" width="14.5" style="214" customWidth="1"/>
    <col min="3599" max="3599" width="12.125" style="214" customWidth="1"/>
    <col min="3600" max="3846" width="9" style="214"/>
    <col min="3847" max="3847" width="14.75" style="214" customWidth="1"/>
    <col min="3848" max="3848" width="17.25" style="214" customWidth="1"/>
    <col min="3849" max="3849" width="11.5" style="214" customWidth="1"/>
    <col min="3850" max="3851" width="14.125" style="214" customWidth="1"/>
    <col min="3852" max="3853" width="22.75" style="214" customWidth="1"/>
    <col min="3854" max="3854" width="14.5" style="214" customWidth="1"/>
    <col min="3855" max="3855" width="12.125" style="214" customWidth="1"/>
    <col min="3856" max="4102" width="9" style="214"/>
    <col min="4103" max="4103" width="14.75" style="214" customWidth="1"/>
    <col min="4104" max="4104" width="17.25" style="214" customWidth="1"/>
    <col min="4105" max="4105" width="11.5" style="214" customWidth="1"/>
    <col min="4106" max="4107" width="14.125" style="214" customWidth="1"/>
    <col min="4108" max="4109" width="22.75" style="214" customWidth="1"/>
    <col min="4110" max="4110" width="14.5" style="214" customWidth="1"/>
    <col min="4111" max="4111" width="12.125" style="214" customWidth="1"/>
    <col min="4112" max="4358" width="9" style="214"/>
    <col min="4359" max="4359" width="14.75" style="214" customWidth="1"/>
    <col min="4360" max="4360" width="17.25" style="214" customWidth="1"/>
    <col min="4361" max="4361" width="11.5" style="214" customWidth="1"/>
    <col min="4362" max="4363" width="14.125" style="214" customWidth="1"/>
    <col min="4364" max="4365" width="22.75" style="214" customWidth="1"/>
    <col min="4366" max="4366" width="14.5" style="214" customWidth="1"/>
    <col min="4367" max="4367" width="12.125" style="214" customWidth="1"/>
    <col min="4368" max="4614" width="9" style="214"/>
    <col min="4615" max="4615" width="14.75" style="214" customWidth="1"/>
    <col min="4616" max="4616" width="17.25" style="214" customWidth="1"/>
    <col min="4617" max="4617" width="11.5" style="214" customWidth="1"/>
    <col min="4618" max="4619" width="14.125" style="214" customWidth="1"/>
    <col min="4620" max="4621" width="22.75" style="214" customWidth="1"/>
    <col min="4622" max="4622" width="14.5" style="214" customWidth="1"/>
    <col min="4623" max="4623" width="12.125" style="214" customWidth="1"/>
    <col min="4624" max="4870" width="9" style="214"/>
    <col min="4871" max="4871" width="14.75" style="214" customWidth="1"/>
    <col min="4872" max="4872" width="17.25" style="214" customWidth="1"/>
    <col min="4873" max="4873" width="11.5" style="214" customWidth="1"/>
    <col min="4874" max="4875" width="14.125" style="214" customWidth="1"/>
    <col min="4876" max="4877" width="22.75" style="214" customWidth="1"/>
    <col min="4878" max="4878" width="14.5" style="214" customWidth="1"/>
    <col min="4879" max="4879" width="12.125" style="214" customWidth="1"/>
    <col min="4880" max="5126" width="9" style="214"/>
    <col min="5127" max="5127" width="14.75" style="214" customWidth="1"/>
    <col min="5128" max="5128" width="17.25" style="214" customWidth="1"/>
    <col min="5129" max="5129" width="11.5" style="214" customWidth="1"/>
    <col min="5130" max="5131" width="14.125" style="214" customWidth="1"/>
    <col min="5132" max="5133" width="22.75" style="214" customWidth="1"/>
    <col min="5134" max="5134" width="14.5" style="214" customWidth="1"/>
    <col min="5135" max="5135" width="12.125" style="214" customWidth="1"/>
    <col min="5136" max="5382" width="9" style="214"/>
    <col min="5383" max="5383" width="14.75" style="214" customWidth="1"/>
    <col min="5384" max="5384" width="17.25" style="214" customWidth="1"/>
    <col min="5385" max="5385" width="11.5" style="214" customWidth="1"/>
    <col min="5386" max="5387" width="14.125" style="214" customWidth="1"/>
    <col min="5388" max="5389" width="22.75" style="214" customWidth="1"/>
    <col min="5390" max="5390" width="14.5" style="214" customWidth="1"/>
    <col min="5391" max="5391" width="12.125" style="214" customWidth="1"/>
    <col min="5392" max="5638" width="9" style="214"/>
    <col min="5639" max="5639" width="14.75" style="214" customWidth="1"/>
    <col min="5640" max="5640" width="17.25" style="214" customWidth="1"/>
    <col min="5641" max="5641" width="11.5" style="214" customWidth="1"/>
    <col min="5642" max="5643" width="14.125" style="214" customWidth="1"/>
    <col min="5644" max="5645" width="22.75" style="214" customWidth="1"/>
    <col min="5646" max="5646" width="14.5" style="214" customWidth="1"/>
    <col min="5647" max="5647" width="12.125" style="214" customWidth="1"/>
    <col min="5648" max="5894" width="9" style="214"/>
    <col min="5895" max="5895" width="14.75" style="214" customWidth="1"/>
    <col min="5896" max="5896" width="17.25" style="214" customWidth="1"/>
    <col min="5897" max="5897" width="11.5" style="214" customWidth="1"/>
    <col min="5898" max="5899" width="14.125" style="214" customWidth="1"/>
    <col min="5900" max="5901" width="22.75" style="214" customWidth="1"/>
    <col min="5902" max="5902" width="14.5" style="214" customWidth="1"/>
    <col min="5903" max="5903" width="12.125" style="214" customWidth="1"/>
    <col min="5904" max="6150" width="9" style="214"/>
    <col min="6151" max="6151" width="14.75" style="214" customWidth="1"/>
    <col min="6152" max="6152" width="17.25" style="214" customWidth="1"/>
    <col min="6153" max="6153" width="11.5" style="214" customWidth="1"/>
    <col min="6154" max="6155" width="14.125" style="214" customWidth="1"/>
    <col min="6156" max="6157" width="22.75" style="214" customWidth="1"/>
    <col min="6158" max="6158" width="14.5" style="214" customWidth="1"/>
    <col min="6159" max="6159" width="12.125" style="214" customWidth="1"/>
    <col min="6160" max="6406" width="9" style="214"/>
    <col min="6407" max="6407" width="14.75" style="214" customWidth="1"/>
    <col min="6408" max="6408" width="17.25" style="214" customWidth="1"/>
    <col min="6409" max="6409" width="11.5" style="214" customWidth="1"/>
    <col min="6410" max="6411" width="14.125" style="214" customWidth="1"/>
    <col min="6412" max="6413" width="22.75" style="214" customWidth="1"/>
    <col min="6414" max="6414" width="14.5" style="214" customWidth="1"/>
    <col min="6415" max="6415" width="12.125" style="214" customWidth="1"/>
    <col min="6416" max="6662" width="9" style="214"/>
    <col min="6663" max="6663" width="14.75" style="214" customWidth="1"/>
    <col min="6664" max="6664" width="17.25" style="214" customWidth="1"/>
    <col min="6665" max="6665" width="11.5" style="214" customWidth="1"/>
    <col min="6666" max="6667" width="14.125" style="214" customWidth="1"/>
    <col min="6668" max="6669" width="22.75" style="214" customWidth="1"/>
    <col min="6670" max="6670" width="14.5" style="214" customWidth="1"/>
    <col min="6671" max="6671" width="12.125" style="214" customWidth="1"/>
    <col min="6672" max="6918" width="9" style="214"/>
    <col min="6919" max="6919" width="14.75" style="214" customWidth="1"/>
    <col min="6920" max="6920" width="17.25" style="214" customWidth="1"/>
    <col min="6921" max="6921" width="11.5" style="214" customWidth="1"/>
    <col min="6922" max="6923" width="14.125" style="214" customWidth="1"/>
    <col min="6924" max="6925" width="22.75" style="214" customWidth="1"/>
    <col min="6926" max="6926" width="14.5" style="214" customWidth="1"/>
    <col min="6927" max="6927" width="12.125" style="214" customWidth="1"/>
    <col min="6928" max="7174" width="9" style="214"/>
    <col min="7175" max="7175" width="14.75" style="214" customWidth="1"/>
    <col min="7176" max="7176" width="17.25" style="214" customWidth="1"/>
    <col min="7177" max="7177" width="11.5" style="214" customWidth="1"/>
    <col min="7178" max="7179" width="14.125" style="214" customWidth="1"/>
    <col min="7180" max="7181" width="22.75" style="214" customWidth="1"/>
    <col min="7182" max="7182" width="14.5" style="214" customWidth="1"/>
    <col min="7183" max="7183" width="12.125" style="214" customWidth="1"/>
    <col min="7184" max="7430" width="9" style="214"/>
    <col min="7431" max="7431" width="14.75" style="214" customWidth="1"/>
    <col min="7432" max="7432" width="17.25" style="214" customWidth="1"/>
    <col min="7433" max="7433" width="11.5" style="214" customWidth="1"/>
    <col min="7434" max="7435" width="14.125" style="214" customWidth="1"/>
    <col min="7436" max="7437" width="22.75" style="214" customWidth="1"/>
    <col min="7438" max="7438" width="14.5" style="214" customWidth="1"/>
    <col min="7439" max="7439" width="12.125" style="214" customWidth="1"/>
    <col min="7440" max="7686" width="9" style="214"/>
    <col min="7687" max="7687" width="14.75" style="214" customWidth="1"/>
    <col min="7688" max="7688" width="17.25" style="214" customWidth="1"/>
    <col min="7689" max="7689" width="11.5" style="214" customWidth="1"/>
    <col min="7690" max="7691" width="14.125" style="214" customWidth="1"/>
    <col min="7692" max="7693" width="22.75" style="214" customWidth="1"/>
    <col min="7694" max="7694" width="14.5" style="214" customWidth="1"/>
    <col min="7695" max="7695" width="12.125" style="214" customWidth="1"/>
    <col min="7696" max="7942" width="9" style="214"/>
    <col min="7943" max="7943" width="14.75" style="214" customWidth="1"/>
    <col min="7944" max="7944" width="17.25" style="214" customWidth="1"/>
    <col min="7945" max="7945" width="11.5" style="214" customWidth="1"/>
    <col min="7946" max="7947" width="14.125" style="214" customWidth="1"/>
    <col min="7948" max="7949" width="22.75" style="214" customWidth="1"/>
    <col min="7950" max="7950" width="14.5" style="214" customWidth="1"/>
    <col min="7951" max="7951" width="12.125" style="214" customWidth="1"/>
    <col min="7952" max="8198" width="9" style="214"/>
    <col min="8199" max="8199" width="14.75" style="214" customWidth="1"/>
    <col min="8200" max="8200" width="17.25" style="214" customWidth="1"/>
    <col min="8201" max="8201" width="11.5" style="214" customWidth="1"/>
    <col min="8202" max="8203" width="14.125" style="214" customWidth="1"/>
    <col min="8204" max="8205" width="22.75" style="214" customWidth="1"/>
    <col min="8206" max="8206" width="14.5" style="214" customWidth="1"/>
    <col min="8207" max="8207" width="12.125" style="214" customWidth="1"/>
    <col min="8208" max="8454" width="9" style="214"/>
    <col min="8455" max="8455" width="14.75" style="214" customWidth="1"/>
    <col min="8456" max="8456" width="17.25" style="214" customWidth="1"/>
    <col min="8457" max="8457" width="11.5" style="214" customWidth="1"/>
    <col min="8458" max="8459" width="14.125" style="214" customWidth="1"/>
    <col min="8460" max="8461" width="22.75" style="214" customWidth="1"/>
    <col min="8462" max="8462" width="14.5" style="214" customWidth="1"/>
    <col min="8463" max="8463" width="12.125" style="214" customWidth="1"/>
    <col min="8464" max="8710" width="9" style="214"/>
    <col min="8711" max="8711" width="14.75" style="214" customWidth="1"/>
    <col min="8712" max="8712" width="17.25" style="214" customWidth="1"/>
    <col min="8713" max="8713" width="11.5" style="214" customWidth="1"/>
    <col min="8714" max="8715" width="14.125" style="214" customWidth="1"/>
    <col min="8716" max="8717" width="22.75" style="214" customWidth="1"/>
    <col min="8718" max="8718" width="14.5" style="214" customWidth="1"/>
    <col min="8719" max="8719" width="12.125" style="214" customWidth="1"/>
    <col min="8720" max="8966" width="9" style="214"/>
    <col min="8967" max="8967" width="14.75" style="214" customWidth="1"/>
    <col min="8968" max="8968" width="17.25" style="214" customWidth="1"/>
    <col min="8969" max="8969" width="11.5" style="214" customWidth="1"/>
    <col min="8970" max="8971" width="14.125" style="214" customWidth="1"/>
    <col min="8972" max="8973" width="22.75" style="214" customWidth="1"/>
    <col min="8974" max="8974" width="14.5" style="214" customWidth="1"/>
    <col min="8975" max="8975" width="12.125" style="214" customWidth="1"/>
    <col min="8976" max="9222" width="9" style="214"/>
    <col min="9223" max="9223" width="14.75" style="214" customWidth="1"/>
    <col min="9224" max="9224" width="17.25" style="214" customWidth="1"/>
    <col min="9225" max="9225" width="11.5" style="214" customWidth="1"/>
    <col min="9226" max="9227" width="14.125" style="214" customWidth="1"/>
    <col min="9228" max="9229" width="22.75" style="214" customWidth="1"/>
    <col min="9230" max="9230" width="14.5" style="214" customWidth="1"/>
    <col min="9231" max="9231" width="12.125" style="214" customWidth="1"/>
    <col min="9232" max="9478" width="9" style="214"/>
    <col min="9479" max="9479" width="14.75" style="214" customWidth="1"/>
    <col min="9480" max="9480" width="17.25" style="214" customWidth="1"/>
    <col min="9481" max="9481" width="11.5" style="214" customWidth="1"/>
    <col min="9482" max="9483" width="14.125" style="214" customWidth="1"/>
    <col min="9484" max="9485" width="22.75" style="214" customWidth="1"/>
    <col min="9486" max="9486" width="14.5" style="214" customWidth="1"/>
    <col min="9487" max="9487" width="12.125" style="214" customWidth="1"/>
    <col min="9488" max="9734" width="9" style="214"/>
    <col min="9735" max="9735" width="14.75" style="214" customWidth="1"/>
    <col min="9736" max="9736" width="17.25" style="214" customWidth="1"/>
    <col min="9737" max="9737" width="11.5" style="214" customWidth="1"/>
    <col min="9738" max="9739" width="14.125" style="214" customWidth="1"/>
    <col min="9740" max="9741" width="22.75" style="214" customWidth="1"/>
    <col min="9742" max="9742" width="14.5" style="214" customWidth="1"/>
    <col min="9743" max="9743" width="12.125" style="214" customWidth="1"/>
    <col min="9744" max="9990" width="9" style="214"/>
    <col min="9991" max="9991" width="14.75" style="214" customWidth="1"/>
    <col min="9992" max="9992" width="17.25" style="214" customWidth="1"/>
    <col min="9993" max="9993" width="11.5" style="214" customWidth="1"/>
    <col min="9994" max="9995" width="14.125" style="214" customWidth="1"/>
    <col min="9996" max="9997" width="22.75" style="214" customWidth="1"/>
    <col min="9998" max="9998" width="14.5" style="214" customWidth="1"/>
    <col min="9999" max="9999" width="12.125" style="214" customWidth="1"/>
    <col min="10000" max="10246" width="9" style="214"/>
    <col min="10247" max="10247" width="14.75" style="214" customWidth="1"/>
    <col min="10248" max="10248" width="17.25" style="214" customWidth="1"/>
    <col min="10249" max="10249" width="11.5" style="214" customWidth="1"/>
    <col min="10250" max="10251" width="14.125" style="214" customWidth="1"/>
    <col min="10252" max="10253" width="22.75" style="214" customWidth="1"/>
    <col min="10254" max="10254" width="14.5" style="214" customWidth="1"/>
    <col min="10255" max="10255" width="12.125" style="214" customWidth="1"/>
    <col min="10256" max="10502" width="9" style="214"/>
    <col min="10503" max="10503" width="14.75" style="214" customWidth="1"/>
    <col min="10504" max="10504" width="17.25" style="214" customWidth="1"/>
    <col min="10505" max="10505" width="11.5" style="214" customWidth="1"/>
    <col min="10506" max="10507" width="14.125" style="214" customWidth="1"/>
    <col min="10508" max="10509" width="22.75" style="214" customWidth="1"/>
    <col min="10510" max="10510" width="14.5" style="214" customWidth="1"/>
    <col min="10511" max="10511" width="12.125" style="214" customWidth="1"/>
    <col min="10512" max="10758" width="9" style="214"/>
    <col min="10759" max="10759" width="14.75" style="214" customWidth="1"/>
    <col min="10760" max="10760" width="17.25" style="214" customWidth="1"/>
    <col min="10761" max="10761" width="11.5" style="214" customWidth="1"/>
    <col min="10762" max="10763" width="14.125" style="214" customWidth="1"/>
    <col min="10764" max="10765" width="22.75" style="214" customWidth="1"/>
    <col min="10766" max="10766" width="14.5" style="214" customWidth="1"/>
    <col min="10767" max="10767" width="12.125" style="214" customWidth="1"/>
    <col min="10768" max="11014" width="9" style="214"/>
    <col min="11015" max="11015" width="14.75" style="214" customWidth="1"/>
    <col min="11016" max="11016" width="17.25" style="214" customWidth="1"/>
    <col min="11017" max="11017" width="11.5" style="214" customWidth="1"/>
    <col min="11018" max="11019" width="14.125" style="214" customWidth="1"/>
    <col min="11020" max="11021" width="22.75" style="214" customWidth="1"/>
    <col min="11022" max="11022" width="14.5" style="214" customWidth="1"/>
    <col min="11023" max="11023" width="12.125" style="214" customWidth="1"/>
    <col min="11024" max="11270" width="9" style="214"/>
    <col min="11271" max="11271" width="14.75" style="214" customWidth="1"/>
    <col min="11272" max="11272" width="17.25" style="214" customWidth="1"/>
    <col min="11273" max="11273" width="11.5" style="214" customWidth="1"/>
    <col min="11274" max="11275" width="14.125" style="214" customWidth="1"/>
    <col min="11276" max="11277" width="22.75" style="214" customWidth="1"/>
    <col min="11278" max="11278" width="14.5" style="214" customWidth="1"/>
    <col min="11279" max="11279" width="12.125" style="214" customWidth="1"/>
    <col min="11280" max="11526" width="9" style="214"/>
    <col min="11527" max="11527" width="14.75" style="214" customWidth="1"/>
    <col min="11528" max="11528" width="17.25" style="214" customWidth="1"/>
    <col min="11529" max="11529" width="11.5" style="214" customWidth="1"/>
    <col min="11530" max="11531" width="14.125" style="214" customWidth="1"/>
    <col min="11532" max="11533" width="22.75" style="214" customWidth="1"/>
    <col min="11534" max="11534" width="14.5" style="214" customWidth="1"/>
    <col min="11535" max="11535" width="12.125" style="214" customWidth="1"/>
    <col min="11536" max="11782" width="9" style="214"/>
    <col min="11783" max="11783" width="14.75" style="214" customWidth="1"/>
    <col min="11784" max="11784" width="17.25" style="214" customWidth="1"/>
    <col min="11785" max="11785" width="11.5" style="214" customWidth="1"/>
    <col min="11786" max="11787" width="14.125" style="214" customWidth="1"/>
    <col min="11788" max="11789" width="22.75" style="214" customWidth="1"/>
    <col min="11790" max="11790" width="14.5" style="214" customWidth="1"/>
    <col min="11791" max="11791" width="12.125" style="214" customWidth="1"/>
    <col min="11792" max="12038" width="9" style="214"/>
    <col min="12039" max="12039" width="14.75" style="214" customWidth="1"/>
    <col min="12040" max="12040" width="17.25" style="214" customWidth="1"/>
    <col min="12041" max="12041" width="11.5" style="214" customWidth="1"/>
    <col min="12042" max="12043" width="14.125" style="214" customWidth="1"/>
    <col min="12044" max="12045" width="22.75" style="214" customWidth="1"/>
    <col min="12046" max="12046" width="14.5" style="214" customWidth="1"/>
    <col min="12047" max="12047" width="12.125" style="214" customWidth="1"/>
    <col min="12048" max="12294" width="9" style="214"/>
    <col min="12295" max="12295" width="14.75" style="214" customWidth="1"/>
    <col min="12296" max="12296" width="17.25" style="214" customWidth="1"/>
    <col min="12297" max="12297" width="11.5" style="214" customWidth="1"/>
    <col min="12298" max="12299" width="14.125" style="214" customWidth="1"/>
    <col min="12300" max="12301" width="22.75" style="214" customWidth="1"/>
    <col min="12302" max="12302" width="14.5" style="214" customWidth="1"/>
    <col min="12303" max="12303" width="12.125" style="214" customWidth="1"/>
    <col min="12304" max="12550" width="9" style="214"/>
    <col min="12551" max="12551" width="14.75" style="214" customWidth="1"/>
    <col min="12552" max="12552" width="17.25" style="214" customWidth="1"/>
    <col min="12553" max="12553" width="11.5" style="214" customWidth="1"/>
    <col min="12554" max="12555" width="14.125" style="214" customWidth="1"/>
    <col min="12556" max="12557" width="22.75" style="214" customWidth="1"/>
    <col min="12558" max="12558" width="14.5" style="214" customWidth="1"/>
    <col min="12559" max="12559" width="12.125" style="214" customWidth="1"/>
    <col min="12560" max="12806" width="9" style="214"/>
    <col min="12807" max="12807" width="14.75" style="214" customWidth="1"/>
    <col min="12808" max="12808" width="17.25" style="214" customWidth="1"/>
    <col min="12809" max="12809" width="11.5" style="214" customWidth="1"/>
    <col min="12810" max="12811" width="14.125" style="214" customWidth="1"/>
    <col min="12812" max="12813" width="22.75" style="214" customWidth="1"/>
    <col min="12814" max="12814" width="14.5" style="214" customWidth="1"/>
    <col min="12815" max="12815" width="12.125" style="214" customWidth="1"/>
    <col min="12816" max="13062" width="9" style="214"/>
    <col min="13063" max="13063" width="14.75" style="214" customWidth="1"/>
    <col min="13064" max="13064" width="17.25" style="214" customWidth="1"/>
    <col min="13065" max="13065" width="11.5" style="214" customWidth="1"/>
    <col min="13066" max="13067" width="14.125" style="214" customWidth="1"/>
    <col min="13068" max="13069" width="22.75" style="214" customWidth="1"/>
    <col min="13070" max="13070" width="14.5" style="214" customWidth="1"/>
    <col min="13071" max="13071" width="12.125" style="214" customWidth="1"/>
    <col min="13072" max="13318" width="9" style="214"/>
    <col min="13319" max="13319" width="14.75" style="214" customWidth="1"/>
    <col min="13320" max="13320" width="17.25" style="214" customWidth="1"/>
    <col min="13321" max="13321" width="11.5" style="214" customWidth="1"/>
    <col min="13322" max="13323" width="14.125" style="214" customWidth="1"/>
    <col min="13324" max="13325" width="22.75" style="214" customWidth="1"/>
    <col min="13326" max="13326" width="14.5" style="214" customWidth="1"/>
    <col min="13327" max="13327" width="12.125" style="214" customWidth="1"/>
    <col min="13328" max="13574" width="9" style="214"/>
    <col min="13575" max="13575" width="14.75" style="214" customWidth="1"/>
    <col min="13576" max="13576" width="17.25" style="214" customWidth="1"/>
    <col min="13577" max="13577" width="11.5" style="214" customWidth="1"/>
    <col min="13578" max="13579" width="14.125" style="214" customWidth="1"/>
    <col min="13580" max="13581" width="22.75" style="214" customWidth="1"/>
    <col min="13582" max="13582" width="14.5" style="214" customWidth="1"/>
    <col min="13583" max="13583" width="12.125" style="214" customWidth="1"/>
    <col min="13584" max="13830" width="9" style="214"/>
    <col min="13831" max="13831" width="14.75" style="214" customWidth="1"/>
    <col min="13832" max="13832" width="17.25" style="214" customWidth="1"/>
    <col min="13833" max="13833" width="11.5" style="214" customWidth="1"/>
    <col min="13834" max="13835" width="14.125" style="214" customWidth="1"/>
    <col min="13836" max="13837" width="22.75" style="214" customWidth="1"/>
    <col min="13838" max="13838" width="14.5" style="214" customWidth="1"/>
    <col min="13839" max="13839" width="12.125" style="214" customWidth="1"/>
    <col min="13840" max="14086" width="9" style="214"/>
    <col min="14087" max="14087" width="14.75" style="214" customWidth="1"/>
    <col min="14088" max="14088" width="17.25" style="214" customWidth="1"/>
    <col min="14089" max="14089" width="11.5" style="214" customWidth="1"/>
    <col min="14090" max="14091" width="14.125" style="214" customWidth="1"/>
    <col min="14092" max="14093" width="22.75" style="214" customWidth="1"/>
    <col min="14094" max="14094" width="14.5" style="214" customWidth="1"/>
    <col min="14095" max="14095" width="12.125" style="214" customWidth="1"/>
    <col min="14096" max="14342" width="9" style="214"/>
    <col min="14343" max="14343" width="14.75" style="214" customWidth="1"/>
    <col min="14344" max="14344" width="17.25" style="214" customWidth="1"/>
    <col min="14345" max="14345" width="11.5" style="214" customWidth="1"/>
    <col min="14346" max="14347" width="14.125" style="214" customWidth="1"/>
    <col min="14348" max="14349" width="22.75" style="214" customWidth="1"/>
    <col min="14350" max="14350" width="14.5" style="214" customWidth="1"/>
    <col min="14351" max="14351" width="12.125" style="214" customWidth="1"/>
    <col min="14352" max="14598" width="9" style="214"/>
    <col min="14599" max="14599" width="14.75" style="214" customWidth="1"/>
    <col min="14600" max="14600" width="17.25" style="214" customWidth="1"/>
    <col min="14601" max="14601" width="11.5" style="214" customWidth="1"/>
    <col min="14602" max="14603" width="14.125" style="214" customWidth="1"/>
    <col min="14604" max="14605" width="22.75" style="214" customWidth="1"/>
    <col min="14606" max="14606" width="14.5" style="214" customWidth="1"/>
    <col min="14607" max="14607" width="12.125" style="214" customWidth="1"/>
    <col min="14608" max="14854" width="9" style="214"/>
    <col min="14855" max="14855" width="14.75" style="214" customWidth="1"/>
    <col min="14856" max="14856" width="17.25" style="214" customWidth="1"/>
    <col min="14857" max="14857" width="11.5" style="214" customWidth="1"/>
    <col min="14858" max="14859" width="14.125" style="214" customWidth="1"/>
    <col min="14860" max="14861" width="22.75" style="214" customWidth="1"/>
    <col min="14862" max="14862" width="14.5" style="214" customWidth="1"/>
    <col min="14863" max="14863" width="12.125" style="214" customWidth="1"/>
    <col min="14864" max="15110" width="9" style="214"/>
    <col min="15111" max="15111" width="14.75" style="214" customWidth="1"/>
    <col min="15112" max="15112" width="17.25" style="214" customWidth="1"/>
    <col min="15113" max="15113" width="11.5" style="214" customWidth="1"/>
    <col min="15114" max="15115" width="14.125" style="214" customWidth="1"/>
    <col min="15116" max="15117" width="22.75" style="214" customWidth="1"/>
    <col min="15118" max="15118" width="14.5" style="214" customWidth="1"/>
    <col min="15119" max="15119" width="12.125" style="214" customWidth="1"/>
    <col min="15120" max="15366" width="9" style="214"/>
    <col min="15367" max="15367" width="14.75" style="214" customWidth="1"/>
    <col min="15368" max="15368" width="17.25" style="214" customWidth="1"/>
    <col min="15369" max="15369" width="11.5" style="214" customWidth="1"/>
    <col min="15370" max="15371" width="14.125" style="214" customWidth="1"/>
    <col min="15372" max="15373" width="22.75" style="214" customWidth="1"/>
    <col min="15374" max="15374" width="14.5" style="214" customWidth="1"/>
    <col min="15375" max="15375" width="12.125" style="214" customWidth="1"/>
    <col min="15376" max="15622" width="9" style="214"/>
    <col min="15623" max="15623" width="14.75" style="214" customWidth="1"/>
    <col min="15624" max="15624" width="17.25" style="214" customWidth="1"/>
    <col min="15625" max="15625" width="11.5" style="214" customWidth="1"/>
    <col min="15626" max="15627" width="14.125" style="214" customWidth="1"/>
    <col min="15628" max="15629" width="22.75" style="214" customWidth="1"/>
    <col min="15630" max="15630" width="14.5" style="214" customWidth="1"/>
    <col min="15631" max="15631" width="12.125" style="214" customWidth="1"/>
    <col min="15632" max="15878" width="9" style="214"/>
    <col min="15879" max="15879" width="14.75" style="214" customWidth="1"/>
    <col min="15880" max="15880" width="17.25" style="214" customWidth="1"/>
    <col min="15881" max="15881" width="11.5" style="214" customWidth="1"/>
    <col min="15882" max="15883" width="14.125" style="214" customWidth="1"/>
    <col min="15884" max="15885" width="22.75" style="214" customWidth="1"/>
    <col min="15886" max="15886" width="14.5" style="214" customWidth="1"/>
    <col min="15887" max="15887" width="12.125" style="214" customWidth="1"/>
    <col min="15888" max="16134" width="9" style="214"/>
    <col min="16135" max="16135" width="14.75" style="214" customWidth="1"/>
    <col min="16136" max="16136" width="17.25" style="214" customWidth="1"/>
    <col min="16137" max="16137" width="11.5" style="214" customWidth="1"/>
    <col min="16138" max="16139" width="14.125" style="214" customWidth="1"/>
    <col min="16140" max="16141" width="22.75" style="214" customWidth="1"/>
    <col min="16142" max="16142" width="14.5" style="214" customWidth="1"/>
    <col min="16143" max="16143" width="12.125" style="214" customWidth="1"/>
    <col min="16144" max="16384" width="9" style="214"/>
  </cols>
  <sheetData>
    <row r="1" spans="1:55" s="63" customFormat="1" ht="26.25" customHeight="1" x14ac:dyDescent="0.7">
      <c r="B1" s="64" t="s">
        <v>0</v>
      </c>
      <c r="C1" s="65" t="s">
        <v>69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 t="s">
        <v>70</v>
      </c>
      <c r="T1" s="67"/>
    </row>
    <row r="2" spans="1:55" s="63" customFormat="1" ht="33" customHeight="1" x14ac:dyDescent="0.7">
      <c r="B2" s="68" t="s">
        <v>3</v>
      </c>
      <c r="C2" s="69" t="s">
        <v>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 t="s">
        <v>5</v>
      </c>
    </row>
    <row r="3" spans="1:55" s="67" customFormat="1" ht="24" x14ac:dyDescent="0.55000000000000004">
      <c r="B3" s="15" t="s">
        <v>6</v>
      </c>
      <c r="C3" s="16" t="s">
        <v>7</v>
      </c>
      <c r="D3" s="17"/>
      <c r="E3" s="17" t="s">
        <v>8</v>
      </c>
      <c r="F3" s="72"/>
      <c r="G3" s="72"/>
      <c r="H3" s="72"/>
      <c r="I3" s="73"/>
      <c r="J3" s="17" t="s">
        <v>71</v>
      </c>
      <c r="K3" s="72"/>
      <c r="L3" s="72"/>
      <c r="M3" s="74"/>
      <c r="N3" s="75"/>
      <c r="O3" s="72"/>
      <c r="P3" s="74"/>
      <c r="Q3" s="75"/>
      <c r="R3" s="75"/>
    </row>
    <row r="4" spans="1:55" s="67" customFormat="1" ht="69" customHeight="1" x14ac:dyDescent="0.55000000000000004">
      <c r="A4" s="76" t="s">
        <v>10</v>
      </c>
      <c r="B4" s="77" t="s">
        <v>72</v>
      </c>
      <c r="C4" s="78"/>
      <c r="D4" s="76" t="s">
        <v>73</v>
      </c>
      <c r="E4" s="79" t="s">
        <v>74</v>
      </c>
      <c r="F4" s="79"/>
      <c r="G4" s="79"/>
      <c r="H4" s="79"/>
      <c r="I4" s="76" t="s">
        <v>75</v>
      </c>
      <c r="J4" s="76" t="s">
        <v>76</v>
      </c>
      <c r="K4" s="80" t="s">
        <v>77</v>
      </c>
      <c r="L4" s="81" t="s">
        <v>78</v>
      </c>
      <c r="M4" s="81"/>
      <c r="N4" s="81"/>
      <c r="O4" s="82" t="s">
        <v>79</v>
      </c>
      <c r="P4" s="82"/>
      <c r="Q4" s="82"/>
      <c r="R4" s="76" t="s">
        <v>80</v>
      </c>
      <c r="S4" s="76" t="s">
        <v>81</v>
      </c>
      <c r="T4" s="83" t="s">
        <v>82</v>
      </c>
      <c r="U4" s="83" t="s">
        <v>52</v>
      </c>
    </row>
    <row r="5" spans="1:55" s="67" customFormat="1" ht="92.25" customHeight="1" x14ac:dyDescent="0.55000000000000004">
      <c r="A5" s="84"/>
      <c r="B5" s="85"/>
      <c r="C5" s="86"/>
      <c r="D5" s="84"/>
      <c r="E5" s="87" t="s">
        <v>83</v>
      </c>
      <c r="F5" s="87" t="s">
        <v>84</v>
      </c>
      <c r="G5" s="87" t="s">
        <v>85</v>
      </c>
      <c r="H5" s="87" t="s">
        <v>86</v>
      </c>
      <c r="I5" s="84"/>
      <c r="J5" s="84"/>
      <c r="K5" s="84"/>
      <c r="L5" s="88" t="s">
        <v>87</v>
      </c>
      <c r="M5" s="88" t="s">
        <v>88</v>
      </c>
      <c r="N5" s="88" t="s">
        <v>89</v>
      </c>
      <c r="O5" s="89" t="s">
        <v>87</v>
      </c>
      <c r="P5" s="89" t="s">
        <v>88</v>
      </c>
      <c r="Q5" s="89" t="s">
        <v>89</v>
      </c>
      <c r="R5" s="84"/>
      <c r="S5" s="84"/>
      <c r="T5" s="83"/>
      <c r="U5" s="83"/>
    </row>
    <row r="6" spans="1:55" s="93" customFormat="1" x14ac:dyDescent="0.55000000000000004">
      <c r="A6" s="90"/>
      <c r="B6" s="91" t="s">
        <v>90</v>
      </c>
      <c r="C6" s="92"/>
      <c r="E6" s="94"/>
      <c r="F6" s="94"/>
      <c r="G6" s="94"/>
      <c r="H6" s="94"/>
      <c r="I6" s="94"/>
      <c r="J6" s="94"/>
      <c r="K6" s="94"/>
      <c r="L6" s="95">
        <f>SUM(L7:L14)</f>
        <v>74000</v>
      </c>
      <c r="M6" s="96"/>
      <c r="N6" s="97">
        <f>L6/8</f>
        <v>9250</v>
      </c>
      <c r="O6" s="97">
        <f>SUM(O7:O14)</f>
        <v>106374.99999999999</v>
      </c>
      <c r="P6" s="96"/>
      <c r="Q6" s="97">
        <f>O6/8</f>
        <v>13296.874999999998</v>
      </c>
      <c r="R6" s="98"/>
      <c r="S6" s="99"/>
      <c r="T6" s="100">
        <f>COUNTIF(T7:T14,"ผ่าน")</f>
        <v>7</v>
      </c>
      <c r="U6" s="101">
        <f>T6*100/8</f>
        <v>87.5</v>
      </c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</row>
    <row r="7" spans="1:55" s="67" customFormat="1" ht="72" x14ac:dyDescent="0.55000000000000004">
      <c r="A7" s="102">
        <v>1</v>
      </c>
      <c r="B7" s="103" t="s">
        <v>91</v>
      </c>
      <c r="C7" s="104" t="s">
        <v>92</v>
      </c>
      <c r="D7" s="105" t="s">
        <v>93</v>
      </c>
      <c r="E7" s="106"/>
      <c r="F7" s="106"/>
      <c r="G7" s="106"/>
      <c r="H7" s="106"/>
      <c r="I7" s="107" t="s">
        <v>94</v>
      </c>
      <c r="J7" s="105" t="s">
        <v>95</v>
      </c>
      <c r="K7" s="108" t="s">
        <v>96</v>
      </c>
      <c r="L7" s="109">
        <f>60000/12</f>
        <v>5000</v>
      </c>
      <c r="M7" s="110"/>
      <c r="N7" s="111"/>
      <c r="O7" s="112">
        <f>86610/12</f>
        <v>7217.5</v>
      </c>
      <c r="P7" s="113"/>
      <c r="Q7" s="114"/>
      <c r="R7" s="115">
        <f>O7-L7</f>
        <v>2217.5</v>
      </c>
      <c r="S7" s="116">
        <f>R7/L7*100</f>
        <v>44.35</v>
      </c>
      <c r="T7" s="117" t="str">
        <f>IF(S7&gt;=40,"ผ่าน","ไม่ผ่าน")</f>
        <v>ผ่าน</v>
      </c>
      <c r="U7" s="113"/>
    </row>
    <row r="8" spans="1:55" s="67" customFormat="1" ht="48" x14ac:dyDescent="0.55000000000000004">
      <c r="A8" s="102">
        <v>2</v>
      </c>
      <c r="B8" s="103" t="s">
        <v>97</v>
      </c>
      <c r="C8" s="104" t="s">
        <v>98</v>
      </c>
      <c r="D8" s="105" t="s">
        <v>99</v>
      </c>
      <c r="E8" s="106"/>
      <c r="F8" s="106"/>
      <c r="G8" s="106"/>
      <c r="H8" s="106"/>
      <c r="I8" s="107" t="s">
        <v>94</v>
      </c>
      <c r="J8" s="105" t="s">
        <v>100</v>
      </c>
      <c r="K8" s="108" t="s">
        <v>101</v>
      </c>
      <c r="L8" s="109">
        <f>120000/12</f>
        <v>10000</v>
      </c>
      <c r="M8" s="118"/>
      <c r="N8" s="111"/>
      <c r="O8" s="112">
        <f>168200/12</f>
        <v>14016.666666666666</v>
      </c>
      <c r="P8" s="114"/>
      <c r="Q8" s="114"/>
      <c r="R8" s="115">
        <f t="shared" ref="R8:R14" si="0">O8-L8</f>
        <v>4016.6666666666661</v>
      </c>
      <c r="S8" s="116">
        <f t="shared" ref="S8:S14" si="1">R8/L8*100</f>
        <v>40.166666666666664</v>
      </c>
      <c r="T8" s="117" t="str">
        <f t="shared" ref="T8:T14" si="2">IF(S8&gt;=40,"ผ่าน","ไม่ผ่าน")</f>
        <v>ผ่าน</v>
      </c>
      <c r="U8" s="113"/>
    </row>
    <row r="9" spans="1:55" s="67" customFormat="1" ht="72" x14ac:dyDescent="0.55000000000000004">
      <c r="A9" s="102">
        <v>3</v>
      </c>
      <c r="B9" s="103" t="s">
        <v>102</v>
      </c>
      <c r="C9" s="104" t="s">
        <v>103</v>
      </c>
      <c r="D9" s="119" t="s">
        <v>104</v>
      </c>
      <c r="E9" s="106"/>
      <c r="F9" s="106"/>
      <c r="G9" s="106"/>
      <c r="H9" s="106"/>
      <c r="I9" s="107" t="s">
        <v>94</v>
      </c>
      <c r="J9" s="105" t="s">
        <v>105</v>
      </c>
      <c r="K9" s="108" t="s">
        <v>106</v>
      </c>
      <c r="L9" s="109">
        <f>60000/12</f>
        <v>5000</v>
      </c>
      <c r="M9" s="118"/>
      <c r="N9" s="111"/>
      <c r="O9" s="112">
        <f>85200/12</f>
        <v>7100</v>
      </c>
      <c r="P9" s="114"/>
      <c r="Q9" s="114"/>
      <c r="R9" s="115">
        <f t="shared" si="0"/>
        <v>2100</v>
      </c>
      <c r="S9" s="116">
        <f t="shared" si="1"/>
        <v>42</v>
      </c>
      <c r="T9" s="117" t="str">
        <f t="shared" si="2"/>
        <v>ผ่าน</v>
      </c>
      <c r="U9" s="113"/>
    </row>
    <row r="10" spans="1:55" s="67" customFormat="1" ht="48" x14ac:dyDescent="0.55000000000000004">
      <c r="A10" s="102">
        <v>4</v>
      </c>
      <c r="B10" s="103" t="s">
        <v>107</v>
      </c>
      <c r="C10" s="104" t="s">
        <v>108</v>
      </c>
      <c r="D10" s="119" t="s">
        <v>109</v>
      </c>
      <c r="E10" s="106"/>
      <c r="F10" s="106"/>
      <c r="G10" s="106"/>
      <c r="H10" s="106"/>
      <c r="I10" s="107" t="s">
        <v>94</v>
      </c>
      <c r="J10" s="105" t="s">
        <v>105</v>
      </c>
      <c r="K10" s="108" t="s">
        <v>110</v>
      </c>
      <c r="L10" s="109">
        <f>120000/12</f>
        <v>10000</v>
      </c>
      <c r="M10" s="118"/>
      <c r="N10" s="111"/>
      <c r="O10" s="112">
        <f>169950/12</f>
        <v>14162.5</v>
      </c>
      <c r="P10" s="114"/>
      <c r="Q10" s="114"/>
      <c r="R10" s="115">
        <f t="shared" si="0"/>
        <v>4162.5</v>
      </c>
      <c r="S10" s="116">
        <f t="shared" si="1"/>
        <v>41.625</v>
      </c>
      <c r="T10" s="117" t="str">
        <f t="shared" si="2"/>
        <v>ผ่าน</v>
      </c>
      <c r="U10" s="113"/>
    </row>
    <row r="11" spans="1:55" s="67" customFormat="1" ht="48" x14ac:dyDescent="0.55000000000000004">
      <c r="A11" s="102">
        <v>5</v>
      </c>
      <c r="B11" s="103" t="s">
        <v>111</v>
      </c>
      <c r="C11" s="104" t="s">
        <v>112</v>
      </c>
      <c r="D11" s="119" t="s">
        <v>113</v>
      </c>
      <c r="E11" s="106"/>
      <c r="F11" s="106"/>
      <c r="G11" s="106"/>
      <c r="H11" s="106"/>
      <c r="I11" s="107" t="s">
        <v>94</v>
      </c>
      <c r="J11" s="105" t="s">
        <v>114</v>
      </c>
      <c r="K11" s="108" t="s">
        <v>115</v>
      </c>
      <c r="L11" s="109">
        <f>120000/12</f>
        <v>10000</v>
      </c>
      <c r="M11" s="118"/>
      <c r="N11" s="111"/>
      <c r="O11" s="112">
        <f>155520/12</f>
        <v>12960</v>
      </c>
      <c r="P11" s="114"/>
      <c r="Q11" s="114"/>
      <c r="R11" s="115">
        <f t="shared" si="0"/>
        <v>2960</v>
      </c>
      <c r="S11" s="116">
        <f t="shared" si="1"/>
        <v>29.599999999999998</v>
      </c>
      <c r="T11" s="117" t="str">
        <f t="shared" si="2"/>
        <v>ไม่ผ่าน</v>
      </c>
      <c r="U11" s="113"/>
    </row>
    <row r="12" spans="1:55" s="67" customFormat="1" ht="48" x14ac:dyDescent="0.55000000000000004">
      <c r="A12" s="102">
        <v>6</v>
      </c>
      <c r="B12" s="103" t="s">
        <v>116</v>
      </c>
      <c r="C12" s="104" t="s">
        <v>117</v>
      </c>
      <c r="D12" s="119" t="s">
        <v>118</v>
      </c>
      <c r="E12" s="106"/>
      <c r="F12" s="106"/>
      <c r="G12" s="106"/>
      <c r="H12" s="106"/>
      <c r="I12" s="107" t="s">
        <v>94</v>
      </c>
      <c r="J12" s="105" t="s">
        <v>119</v>
      </c>
      <c r="K12" s="108" t="s">
        <v>120</v>
      </c>
      <c r="L12" s="109">
        <f>108000/12</f>
        <v>9000</v>
      </c>
      <c r="M12" s="118"/>
      <c r="N12" s="111"/>
      <c r="O12" s="112">
        <f>153630/12</f>
        <v>12802.5</v>
      </c>
      <c r="P12" s="114"/>
      <c r="Q12" s="114"/>
      <c r="R12" s="115">
        <f t="shared" si="0"/>
        <v>3802.5</v>
      </c>
      <c r="S12" s="116">
        <f t="shared" si="1"/>
        <v>42.25</v>
      </c>
      <c r="T12" s="117" t="str">
        <f t="shared" si="2"/>
        <v>ผ่าน</v>
      </c>
      <c r="U12" s="113"/>
    </row>
    <row r="13" spans="1:55" s="67" customFormat="1" ht="48" x14ac:dyDescent="0.55000000000000004">
      <c r="A13" s="102">
        <v>7</v>
      </c>
      <c r="B13" s="103" t="s">
        <v>121</v>
      </c>
      <c r="C13" s="104" t="s">
        <v>122</v>
      </c>
      <c r="D13" s="119" t="s">
        <v>123</v>
      </c>
      <c r="E13" s="106"/>
      <c r="F13" s="106"/>
      <c r="G13" s="106"/>
      <c r="H13" s="106"/>
      <c r="I13" s="107" t="s">
        <v>94</v>
      </c>
      <c r="J13" s="105" t="s">
        <v>124</v>
      </c>
      <c r="K13" s="108" t="s">
        <v>125</v>
      </c>
      <c r="L13" s="109">
        <f>120000/12</f>
        <v>10000</v>
      </c>
      <c r="M13" s="118"/>
      <c r="N13" s="111"/>
      <c r="O13" s="112">
        <f>202140/12</f>
        <v>16845</v>
      </c>
      <c r="P13" s="114"/>
      <c r="Q13" s="114"/>
      <c r="R13" s="115">
        <f t="shared" si="0"/>
        <v>6845</v>
      </c>
      <c r="S13" s="116">
        <f t="shared" si="1"/>
        <v>68.45</v>
      </c>
      <c r="T13" s="117" t="str">
        <f t="shared" si="2"/>
        <v>ผ่าน</v>
      </c>
      <c r="U13" s="113"/>
    </row>
    <row r="14" spans="1:55" s="67" customFormat="1" ht="48" x14ac:dyDescent="0.55000000000000004">
      <c r="A14" s="102">
        <v>8</v>
      </c>
      <c r="B14" s="103" t="s">
        <v>126</v>
      </c>
      <c r="C14" s="104" t="s">
        <v>127</v>
      </c>
      <c r="D14" s="119" t="s">
        <v>128</v>
      </c>
      <c r="E14" s="106"/>
      <c r="F14" s="106"/>
      <c r="G14" s="106"/>
      <c r="H14" s="106"/>
      <c r="I14" s="107" t="s">
        <v>94</v>
      </c>
      <c r="J14" s="105" t="s">
        <v>129</v>
      </c>
      <c r="K14" s="108" t="s">
        <v>130</v>
      </c>
      <c r="L14" s="109">
        <f>180000/12</f>
        <v>15000</v>
      </c>
      <c r="M14" s="118"/>
      <c r="N14" s="111"/>
      <c r="O14" s="112">
        <f>255250/12</f>
        <v>21270.833333333332</v>
      </c>
      <c r="P14" s="114"/>
      <c r="Q14" s="114"/>
      <c r="R14" s="115">
        <f t="shared" si="0"/>
        <v>6270.8333333333321</v>
      </c>
      <c r="S14" s="116">
        <f t="shared" si="1"/>
        <v>41.805555555555543</v>
      </c>
      <c r="T14" s="117" t="str">
        <f t="shared" si="2"/>
        <v>ผ่าน</v>
      </c>
      <c r="U14" s="113"/>
    </row>
    <row r="15" spans="1:55" s="93" customFormat="1" x14ac:dyDescent="0.55000000000000004">
      <c r="A15" s="90"/>
      <c r="B15" s="91" t="s">
        <v>131</v>
      </c>
      <c r="C15" s="92"/>
      <c r="E15" s="94"/>
      <c r="F15" s="94"/>
      <c r="G15" s="94"/>
      <c r="H15" s="94"/>
      <c r="I15" s="94"/>
      <c r="J15" s="94"/>
      <c r="K15" s="94"/>
      <c r="L15" s="95">
        <f>SUM(L16:L23)</f>
        <v>4910.833333333333</v>
      </c>
      <c r="M15" s="96"/>
      <c r="N15" s="97">
        <f>L15/8</f>
        <v>613.85416666666663</v>
      </c>
      <c r="O15" s="95">
        <f>SUM(O16:O23)</f>
        <v>14383.5</v>
      </c>
      <c r="P15" s="96"/>
      <c r="Q15" s="97">
        <f>O15/8</f>
        <v>1797.9375</v>
      </c>
      <c r="R15" s="98"/>
      <c r="S15" s="99"/>
      <c r="T15" s="100">
        <f>COUNTIF(T16:T23,"ผ่าน")</f>
        <v>8</v>
      </c>
      <c r="U15" s="101">
        <f>T15*100/8</f>
        <v>100</v>
      </c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</row>
    <row r="16" spans="1:55" s="67" customFormat="1" ht="48" x14ac:dyDescent="0.55000000000000004">
      <c r="A16" s="102">
        <v>1</v>
      </c>
      <c r="B16" s="120" t="s">
        <v>132</v>
      </c>
      <c r="C16" s="121" t="s">
        <v>133</v>
      </c>
      <c r="D16" s="122" t="s">
        <v>134</v>
      </c>
      <c r="E16" s="106"/>
      <c r="F16" s="106"/>
      <c r="G16" s="106"/>
      <c r="H16" s="106"/>
      <c r="I16" s="123" t="s">
        <v>94</v>
      </c>
      <c r="J16" s="124" t="s">
        <v>135</v>
      </c>
      <c r="K16" s="125" t="s">
        <v>136</v>
      </c>
      <c r="L16" s="126">
        <f>8230/12</f>
        <v>685.83333333333337</v>
      </c>
      <c r="M16" s="110"/>
      <c r="N16" s="127"/>
      <c r="O16" s="128">
        <f>22560/12</f>
        <v>1880</v>
      </c>
      <c r="P16" s="110"/>
      <c r="Q16" s="114"/>
      <c r="R16" s="115">
        <f>O16-L16</f>
        <v>1194.1666666666665</v>
      </c>
      <c r="S16" s="116">
        <f>R16/L16*100</f>
        <v>174.11907654921018</v>
      </c>
      <c r="T16" s="117" t="str">
        <f>IF(S16&gt;=40,"ผ่าน","ไม่ผ่าน")</f>
        <v>ผ่าน</v>
      </c>
      <c r="U16" s="113"/>
    </row>
    <row r="17" spans="1:55" s="67" customFormat="1" ht="48" x14ac:dyDescent="0.55000000000000004">
      <c r="A17" s="102">
        <v>2</v>
      </c>
      <c r="B17" s="120" t="s">
        <v>137</v>
      </c>
      <c r="C17" s="121" t="s">
        <v>138</v>
      </c>
      <c r="D17" s="122" t="s">
        <v>139</v>
      </c>
      <c r="E17" s="106"/>
      <c r="F17" s="106"/>
      <c r="G17" s="106"/>
      <c r="H17" s="106"/>
      <c r="I17" s="123" t="s">
        <v>94</v>
      </c>
      <c r="J17" s="124" t="s">
        <v>135</v>
      </c>
      <c r="K17" s="125" t="s">
        <v>136</v>
      </c>
      <c r="L17" s="126">
        <f>7600/12</f>
        <v>633.33333333333337</v>
      </c>
      <c r="M17" s="118"/>
      <c r="N17" s="127"/>
      <c r="O17" s="128">
        <f>23030/12</f>
        <v>1919.1666666666667</v>
      </c>
      <c r="P17" s="118"/>
      <c r="Q17" s="114"/>
      <c r="R17" s="115">
        <f t="shared" ref="R17:R23" si="3">O17-L17</f>
        <v>1285.8333333333335</v>
      </c>
      <c r="S17" s="116">
        <f t="shared" ref="S17:S23" si="4">R17/L17*100</f>
        <v>203.0263157894737</v>
      </c>
      <c r="T17" s="117" t="str">
        <f t="shared" ref="T17:T23" si="5">IF(S17&gt;=40,"ผ่าน","ไม่ผ่าน")</f>
        <v>ผ่าน</v>
      </c>
      <c r="U17" s="113"/>
    </row>
    <row r="18" spans="1:55" s="67" customFormat="1" ht="48" x14ac:dyDescent="0.55000000000000004">
      <c r="A18" s="102">
        <v>3</v>
      </c>
      <c r="B18" s="120" t="s">
        <v>140</v>
      </c>
      <c r="C18" s="121" t="s">
        <v>141</v>
      </c>
      <c r="D18" s="122" t="s">
        <v>142</v>
      </c>
      <c r="E18" s="106"/>
      <c r="F18" s="106"/>
      <c r="G18" s="106"/>
      <c r="H18" s="106"/>
      <c r="I18" s="123" t="s">
        <v>94</v>
      </c>
      <c r="J18" s="124" t="s">
        <v>135</v>
      </c>
      <c r="K18" s="125" t="s">
        <v>136</v>
      </c>
      <c r="L18" s="126">
        <f>7500/12</f>
        <v>625</v>
      </c>
      <c r="M18" s="118"/>
      <c r="N18" s="127"/>
      <c r="O18" s="128">
        <f>18811/12</f>
        <v>1567.5833333333333</v>
      </c>
      <c r="P18" s="118"/>
      <c r="Q18" s="114"/>
      <c r="R18" s="115">
        <f t="shared" si="3"/>
        <v>942.58333333333326</v>
      </c>
      <c r="S18" s="116">
        <f t="shared" si="4"/>
        <v>150.8133333333333</v>
      </c>
      <c r="T18" s="117" t="str">
        <f t="shared" si="5"/>
        <v>ผ่าน</v>
      </c>
      <c r="U18" s="113"/>
    </row>
    <row r="19" spans="1:55" s="67" customFormat="1" ht="48" x14ac:dyDescent="0.55000000000000004">
      <c r="A19" s="102">
        <v>4</v>
      </c>
      <c r="B19" s="120" t="s">
        <v>143</v>
      </c>
      <c r="C19" s="121" t="s">
        <v>144</v>
      </c>
      <c r="D19" s="122" t="s">
        <v>145</v>
      </c>
      <c r="E19" s="106"/>
      <c r="F19" s="106"/>
      <c r="G19" s="106"/>
      <c r="H19" s="106"/>
      <c r="I19" s="123" t="s">
        <v>94</v>
      </c>
      <c r="J19" s="124" t="s">
        <v>135</v>
      </c>
      <c r="K19" s="125" t="s">
        <v>136</v>
      </c>
      <c r="L19" s="126">
        <f>8230/12</f>
        <v>685.83333333333337</v>
      </c>
      <c r="M19" s="118"/>
      <c r="N19" s="127"/>
      <c r="O19" s="128">
        <f>19690/12</f>
        <v>1640.8333333333333</v>
      </c>
      <c r="P19" s="118"/>
      <c r="Q19" s="114"/>
      <c r="R19" s="115">
        <f t="shared" si="3"/>
        <v>954.99999999999989</v>
      </c>
      <c r="S19" s="116">
        <f t="shared" si="4"/>
        <v>139.24665856622113</v>
      </c>
      <c r="T19" s="117" t="str">
        <f t="shared" si="5"/>
        <v>ผ่าน</v>
      </c>
      <c r="U19" s="113"/>
    </row>
    <row r="20" spans="1:55" s="67" customFormat="1" ht="48" x14ac:dyDescent="0.55000000000000004">
      <c r="A20" s="102">
        <v>5</v>
      </c>
      <c r="B20" s="120" t="s">
        <v>146</v>
      </c>
      <c r="C20" s="121" t="s">
        <v>147</v>
      </c>
      <c r="D20" s="122" t="s">
        <v>148</v>
      </c>
      <c r="E20" s="106"/>
      <c r="F20" s="106"/>
      <c r="G20" s="106"/>
      <c r="H20" s="106"/>
      <c r="I20" s="123" t="s">
        <v>94</v>
      </c>
      <c r="J20" s="124" t="s">
        <v>135</v>
      </c>
      <c r="K20" s="125" t="s">
        <v>136</v>
      </c>
      <c r="L20" s="126">
        <f>6300/12</f>
        <v>525</v>
      </c>
      <c r="M20" s="118"/>
      <c r="N20" s="127"/>
      <c r="O20" s="128">
        <f>20830/12</f>
        <v>1735.8333333333333</v>
      </c>
      <c r="P20" s="118"/>
      <c r="Q20" s="114"/>
      <c r="R20" s="115">
        <f t="shared" si="3"/>
        <v>1210.8333333333333</v>
      </c>
      <c r="S20" s="116">
        <f t="shared" si="4"/>
        <v>230.6349206349206</v>
      </c>
      <c r="T20" s="117" t="str">
        <f t="shared" si="5"/>
        <v>ผ่าน</v>
      </c>
      <c r="U20" s="113"/>
    </row>
    <row r="21" spans="1:55" s="67" customFormat="1" ht="48" x14ac:dyDescent="0.55000000000000004">
      <c r="A21" s="102">
        <v>6</v>
      </c>
      <c r="B21" s="120" t="s">
        <v>149</v>
      </c>
      <c r="C21" s="121" t="s">
        <v>150</v>
      </c>
      <c r="D21" s="122" t="s">
        <v>151</v>
      </c>
      <c r="E21" s="106"/>
      <c r="F21" s="106"/>
      <c r="G21" s="106"/>
      <c r="H21" s="106"/>
      <c r="I21" s="123" t="s">
        <v>94</v>
      </c>
      <c r="J21" s="124" t="s">
        <v>135</v>
      </c>
      <c r="K21" s="125" t="s">
        <v>136</v>
      </c>
      <c r="L21" s="126">
        <f>7320/12</f>
        <v>610</v>
      </c>
      <c r="M21" s="118"/>
      <c r="N21" s="127"/>
      <c r="O21" s="128">
        <f>22899/12</f>
        <v>1908.25</v>
      </c>
      <c r="P21" s="118"/>
      <c r="Q21" s="114"/>
      <c r="R21" s="115">
        <f t="shared" si="3"/>
        <v>1298.25</v>
      </c>
      <c r="S21" s="116">
        <f t="shared" si="4"/>
        <v>212.82786885245901</v>
      </c>
      <c r="T21" s="117" t="str">
        <f t="shared" si="5"/>
        <v>ผ่าน</v>
      </c>
      <c r="U21" s="113"/>
    </row>
    <row r="22" spans="1:55" s="67" customFormat="1" ht="48" x14ac:dyDescent="0.55000000000000004">
      <c r="A22" s="102">
        <v>7</v>
      </c>
      <c r="B22" s="120" t="s">
        <v>152</v>
      </c>
      <c r="C22" s="121" t="s">
        <v>153</v>
      </c>
      <c r="D22" s="122" t="s">
        <v>154</v>
      </c>
      <c r="E22" s="106"/>
      <c r="F22" s="106"/>
      <c r="G22" s="106"/>
      <c r="H22" s="106"/>
      <c r="I22" s="123" t="s">
        <v>94</v>
      </c>
      <c r="J22" s="124" t="s">
        <v>135</v>
      </c>
      <c r="K22" s="125" t="s">
        <v>136</v>
      </c>
      <c r="L22" s="126">
        <f>7000/12</f>
        <v>583.33333333333337</v>
      </c>
      <c r="M22" s="118"/>
      <c r="N22" s="127"/>
      <c r="O22" s="128">
        <f>22227/12</f>
        <v>1852.25</v>
      </c>
      <c r="P22" s="118"/>
      <c r="Q22" s="114"/>
      <c r="R22" s="115">
        <f t="shared" si="3"/>
        <v>1268.9166666666665</v>
      </c>
      <c r="S22" s="116">
        <f t="shared" si="4"/>
        <v>217.52857142857138</v>
      </c>
      <c r="T22" s="117" t="str">
        <f t="shared" si="5"/>
        <v>ผ่าน</v>
      </c>
      <c r="U22" s="113"/>
    </row>
    <row r="23" spans="1:55" s="67" customFormat="1" ht="48" x14ac:dyDescent="0.55000000000000004">
      <c r="A23" s="102">
        <v>8</v>
      </c>
      <c r="B23" s="120" t="s">
        <v>155</v>
      </c>
      <c r="C23" s="121" t="s">
        <v>156</v>
      </c>
      <c r="D23" s="122" t="s">
        <v>157</v>
      </c>
      <c r="E23" s="106"/>
      <c r="F23" s="106"/>
      <c r="G23" s="106"/>
      <c r="H23" s="106"/>
      <c r="I23" s="123" t="s">
        <v>94</v>
      </c>
      <c r="J23" s="124" t="s">
        <v>135</v>
      </c>
      <c r="K23" s="125" t="s">
        <v>136</v>
      </c>
      <c r="L23" s="126">
        <f>6750/12</f>
        <v>562.5</v>
      </c>
      <c r="M23" s="118"/>
      <c r="N23" s="127"/>
      <c r="O23" s="128">
        <f>22555/12</f>
        <v>1879.5833333333333</v>
      </c>
      <c r="P23" s="118"/>
      <c r="Q23" s="114"/>
      <c r="R23" s="115">
        <f t="shared" si="3"/>
        <v>1317.0833333333333</v>
      </c>
      <c r="S23" s="116">
        <f t="shared" si="4"/>
        <v>234.14814814814812</v>
      </c>
      <c r="T23" s="117" t="str">
        <f t="shared" si="5"/>
        <v>ผ่าน</v>
      </c>
      <c r="U23" s="113"/>
    </row>
    <row r="24" spans="1:55" s="93" customFormat="1" x14ac:dyDescent="0.55000000000000004">
      <c r="A24" s="90"/>
      <c r="B24" s="91" t="s">
        <v>158</v>
      </c>
      <c r="C24" s="92"/>
      <c r="E24" s="94"/>
      <c r="F24" s="94"/>
      <c r="G24" s="94"/>
      <c r="H24" s="94"/>
      <c r="I24" s="94"/>
      <c r="J24" s="94"/>
      <c r="K24" s="94"/>
      <c r="L24" s="95">
        <f>SUM(L25:L32)</f>
        <v>80131.416666666672</v>
      </c>
      <c r="M24" s="96"/>
      <c r="N24" s="97">
        <f>L24/8</f>
        <v>10016.427083333334</v>
      </c>
      <c r="O24" s="95">
        <f>SUM(O25:O32)</f>
        <v>228092.08333333331</v>
      </c>
      <c r="P24" s="96"/>
      <c r="Q24" s="97">
        <f>O24/8</f>
        <v>28511.510416666664</v>
      </c>
      <c r="R24" s="98"/>
      <c r="S24" s="99"/>
      <c r="T24" s="100">
        <f>COUNTIF(T25:T32,"ผ่าน")</f>
        <v>8</v>
      </c>
      <c r="U24" s="101">
        <f>T24*100/8</f>
        <v>100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</row>
    <row r="25" spans="1:55" s="67" customFormat="1" ht="48" x14ac:dyDescent="0.55000000000000004">
      <c r="A25" s="102">
        <v>1</v>
      </c>
      <c r="B25" s="129" t="s">
        <v>159</v>
      </c>
      <c r="C25" s="130" t="s">
        <v>160</v>
      </c>
      <c r="D25" s="131" t="s">
        <v>161</v>
      </c>
      <c r="E25" s="106"/>
      <c r="F25" s="106"/>
      <c r="G25" s="106"/>
      <c r="H25" s="106"/>
      <c r="I25" s="123" t="s">
        <v>94</v>
      </c>
      <c r="J25" s="131" t="s">
        <v>162</v>
      </c>
      <c r="K25" s="131" t="s">
        <v>163</v>
      </c>
      <c r="L25" s="132">
        <f>79500/12</f>
        <v>6625</v>
      </c>
      <c r="M25" s="118"/>
      <c r="N25" s="127"/>
      <c r="O25" s="133">
        <f>112781/12</f>
        <v>9398.4166666666661</v>
      </c>
      <c r="P25" s="118"/>
      <c r="Q25" s="114"/>
      <c r="R25" s="115">
        <f t="shared" ref="R25:R32" si="6">O25-L25</f>
        <v>2773.4166666666661</v>
      </c>
      <c r="S25" s="116">
        <f t="shared" ref="S25:S32" si="7">R25/L25*100</f>
        <v>41.862893081761001</v>
      </c>
      <c r="T25" s="117" t="str">
        <f>IF(S25&gt;=40,"ผ่าน","ไม่ผ่าน")</f>
        <v>ผ่าน</v>
      </c>
      <c r="U25" s="113"/>
    </row>
    <row r="26" spans="1:55" s="67" customFormat="1" ht="48" x14ac:dyDescent="0.55000000000000004">
      <c r="A26" s="102">
        <v>2</v>
      </c>
      <c r="B26" s="129" t="s">
        <v>164</v>
      </c>
      <c r="C26" s="130" t="s">
        <v>165</v>
      </c>
      <c r="D26" s="131" t="s">
        <v>166</v>
      </c>
      <c r="E26" s="106"/>
      <c r="F26" s="106"/>
      <c r="G26" s="106"/>
      <c r="H26" s="106"/>
      <c r="I26" s="123" t="s">
        <v>94</v>
      </c>
      <c r="J26" s="131" t="s">
        <v>162</v>
      </c>
      <c r="K26" s="134" t="s">
        <v>167</v>
      </c>
      <c r="L26" s="132">
        <f>622250/12</f>
        <v>51854.166666666664</v>
      </c>
      <c r="M26" s="118"/>
      <c r="N26" s="127"/>
      <c r="O26" s="133">
        <f>1697409/12</f>
        <v>141450.75</v>
      </c>
      <c r="P26" s="118"/>
      <c r="Q26" s="114"/>
      <c r="R26" s="115">
        <f t="shared" si="6"/>
        <v>89596.583333333343</v>
      </c>
      <c r="S26" s="116">
        <f t="shared" si="7"/>
        <v>172.78569706709527</v>
      </c>
      <c r="T26" s="117" t="str">
        <f t="shared" ref="T26:T41" si="8">IF(S26&gt;=40,"ผ่าน","ไม่ผ่าน")</f>
        <v>ผ่าน</v>
      </c>
      <c r="U26" s="113"/>
    </row>
    <row r="27" spans="1:55" s="67" customFormat="1" ht="48" x14ac:dyDescent="0.55000000000000004">
      <c r="A27" s="102">
        <v>3</v>
      </c>
      <c r="B27" s="129" t="s">
        <v>168</v>
      </c>
      <c r="C27" s="130" t="s">
        <v>169</v>
      </c>
      <c r="D27" s="131" t="s">
        <v>170</v>
      </c>
      <c r="E27" s="106"/>
      <c r="F27" s="106"/>
      <c r="G27" s="106"/>
      <c r="H27" s="106"/>
      <c r="I27" s="123" t="s">
        <v>94</v>
      </c>
      <c r="J27" s="131" t="s">
        <v>162</v>
      </c>
      <c r="K27" s="134" t="s">
        <v>171</v>
      </c>
      <c r="L27" s="132">
        <f>14275/12</f>
        <v>1189.5833333333333</v>
      </c>
      <c r="M27" s="118"/>
      <c r="N27" s="127"/>
      <c r="O27" s="133">
        <f>180800/12</f>
        <v>15066.666666666666</v>
      </c>
      <c r="P27" s="118"/>
      <c r="Q27" s="114"/>
      <c r="R27" s="115">
        <f t="shared" si="6"/>
        <v>13877.083333333332</v>
      </c>
      <c r="S27" s="116">
        <f t="shared" si="7"/>
        <v>1166.5499124343257</v>
      </c>
      <c r="T27" s="117" t="str">
        <f t="shared" si="8"/>
        <v>ผ่าน</v>
      </c>
      <c r="U27" s="113"/>
    </row>
    <row r="28" spans="1:55" s="67" customFormat="1" ht="48" x14ac:dyDescent="0.55000000000000004">
      <c r="A28" s="102">
        <v>4</v>
      </c>
      <c r="B28" s="129" t="s">
        <v>172</v>
      </c>
      <c r="C28" s="130" t="s">
        <v>173</v>
      </c>
      <c r="D28" s="131" t="s">
        <v>174</v>
      </c>
      <c r="E28" s="106"/>
      <c r="F28" s="106"/>
      <c r="G28" s="106"/>
      <c r="H28" s="106"/>
      <c r="I28" s="123" t="s">
        <v>94</v>
      </c>
      <c r="J28" s="131" t="s">
        <v>162</v>
      </c>
      <c r="K28" s="134" t="s">
        <v>167</v>
      </c>
      <c r="L28" s="132">
        <f>60000/12</f>
        <v>5000</v>
      </c>
      <c r="M28" s="118"/>
      <c r="N28" s="127"/>
      <c r="O28" s="133">
        <f>85560/12</f>
        <v>7130</v>
      </c>
      <c r="P28" s="118"/>
      <c r="Q28" s="114"/>
      <c r="R28" s="115">
        <f t="shared" si="6"/>
        <v>2130</v>
      </c>
      <c r="S28" s="116">
        <f t="shared" si="7"/>
        <v>42.6</v>
      </c>
      <c r="T28" s="117" t="str">
        <f t="shared" si="8"/>
        <v>ผ่าน</v>
      </c>
      <c r="U28" s="113"/>
    </row>
    <row r="29" spans="1:55" s="67" customFormat="1" ht="48" x14ac:dyDescent="0.55000000000000004">
      <c r="A29" s="102">
        <v>5</v>
      </c>
      <c r="B29" s="129" t="s">
        <v>175</v>
      </c>
      <c r="C29" s="130" t="s">
        <v>176</v>
      </c>
      <c r="D29" s="131" t="s">
        <v>177</v>
      </c>
      <c r="E29" s="135"/>
      <c r="F29" s="135"/>
      <c r="G29" s="135"/>
      <c r="H29" s="135"/>
      <c r="I29" s="123" t="s">
        <v>94</v>
      </c>
      <c r="J29" s="131" t="s">
        <v>162</v>
      </c>
      <c r="K29" s="134" t="s">
        <v>178</v>
      </c>
      <c r="L29" s="132">
        <f>45000/12</f>
        <v>3750</v>
      </c>
      <c r="M29" s="118"/>
      <c r="N29" s="127"/>
      <c r="O29" s="133">
        <f>76040/12</f>
        <v>6336.666666666667</v>
      </c>
      <c r="P29" s="118"/>
      <c r="Q29" s="114"/>
      <c r="R29" s="115">
        <f t="shared" si="6"/>
        <v>2586.666666666667</v>
      </c>
      <c r="S29" s="116">
        <f t="shared" si="7"/>
        <v>68.977777777777789</v>
      </c>
      <c r="T29" s="117" t="str">
        <f t="shared" si="8"/>
        <v>ผ่าน</v>
      </c>
      <c r="U29" s="113"/>
    </row>
    <row r="30" spans="1:55" s="67" customFormat="1" ht="48" x14ac:dyDescent="0.55000000000000004">
      <c r="A30" s="102">
        <v>6</v>
      </c>
      <c r="B30" s="129" t="s">
        <v>179</v>
      </c>
      <c r="C30" s="130" t="s">
        <v>180</v>
      </c>
      <c r="D30" s="131" t="s">
        <v>181</v>
      </c>
      <c r="E30" s="136"/>
      <c r="F30" s="137"/>
      <c r="G30" s="137"/>
      <c r="H30" s="137"/>
      <c r="I30" s="123" t="s">
        <v>94</v>
      </c>
      <c r="J30" s="131" t="s">
        <v>162</v>
      </c>
      <c r="K30" s="134" t="s">
        <v>182</v>
      </c>
      <c r="L30" s="132">
        <f>24071/12</f>
        <v>2005.9166666666667</v>
      </c>
      <c r="M30" s="118"/>
      <c r="N30" s="127"/>
      <c r="O30" s="133">
        <f>142585/12</f>
        <v>11882.083333333334</v>
      </c>
      <c r="P30" s="118"/>
      <c r="Q30" s="114"/>
      <c r="R30" s="115">
        <f t="shared" si="6"/>
        <v>9876.1666666666679</v>
      </c>
      <c r="S30" s="116">
        <f t="shared" si="7"/>
        <v>492.3517926135184</v>
      </c>
      <c r="T30" s="117" t="str">
        <f t="shared" si="8"/>
        <v>ผ่าน</v>
      </c>
      <c r="U30" s="113"/>
    </row>
    <row r="31" spans="1:55" s="67" customFormat="1" ht="48" x14ac:dyDescent="0.55000000000000004">
      <c r="A31" s="102">
        <v>7</v>
      </c>
      <c r="B31" s="129" t="s">
        <v>183</v>
      </c>
      <c r="C31" s="130" t="s">
        <v>184</v>
      </c>
      <c r="D31" s="131" t="s">
        <v>185</v>
      </c>
      <c r="E31" s="138"/>
      <c r="F31" s="139"/>
      <c r="G31" s="139"/>
      <c r="H31" s="139"/>
      <c r="I31" s="123" t="s">
        <v>94</v>
      </c>
      <c r="J31" s="131" t="s">
        <v>162</v>
      </c>
      <c r="K31" s="140" t="s">
        <v>186</v>
      </c>
      <c r="L31" s="132">
        <f>22561/12</f>
        <v>1880.0833333333333</v>
      </c>
      <c r="M31" s="118"/>
      <c r="N31" s="127"/>
      <c r="O31" s="133">
        <f>34500/12</f>
        <v>2875</v>
      </c>
      <c r="P31" s="118"/>
      <c r="Q31" s="114"/>
      <c r="R31" s="115">
        <f t="shared" si="6"/>
        <v>994.91666666666674</v>
      </c>
      <c r="S31" s="116">
        <f t="shared" si="7"/>
        <v>52.918753601347468</v>
      </c>
      <c r="T31" s="117" t="str">
        <f t="shared" si="8"/>
        <v>ผ่าน</v>
      </c>
      <c r="U31" s="113"/>
    </row>
    <row r="32" spans="1:55" s="67" customFormat="1" ht="48" x14ac:dyDescent="0.55000000000000004">
      <c r="A32" s="102">
        <v>8</v>
      </c>
      <c r="B32" s="129" t="s">
        <v>187</v>
      </c>
      <c r="C32" s="130" t="s">
        <v>188</v>
      </c>
      <c r="D32" s="131" t="s">
        <v>189</v>
      </c>
      <c r="E32" s="138"/>
      <c r="F32" s="139"/>
      <c r="G32" s="139"/>
      <c r="H32" s="139"/>
      <c r="I32" s="123" t="s">
        <v>94</v>
      </c>
      <c r="J32" s="131" t="s">
        <v>162</v>
      </c>
      <c r="K32" s="134" t="s">
        <v>190</v>
      </c>
      <c r="L32" s="132">
        <f>93920/12</f>
        <v>7826.666666666667</v>
      </c>
      <c r="M32" s="118"/>
      <c r="N32" s="127"/>
      <c r="O32" s="133">
        <f>407430/12</f>
        <v>33952.5</v>
      </c>
      <c r="P32" s="118"/>
      <c r="Q32" s="114"/>
      <c r="R32" s="115">
        <f t="shared" si="6"/>
        <v>26125.833333333332</v>
      </c>
      <c r="S32" s="116">
        <f t="shared" si="7"/>
        <v>333.80536626916523</v>
      </c>
      <c r="T32" s="117" t="str">
        <f t="shared" si="8"/>
        <v>ผ่าน</v>
      </c>
      <c r="U32" s="113"/>
    </row>
    <row r="33" spans="1:55" s="93" customFormat="1" x14ac:dyDescent="0.55000000000000004">
      <c r="A33" s="90"/>
      <c r="B33" s="91" t="s">
        <v>191</v>
      </c>
      <c r="C33" s="92"/>
      <c r="E33" s="94"/>
      <c r="F33" s="94"/>
      <c r="G33" s="94"/>
      <c r="H33" s="94"/>
      <c r="I33" s="94"/>
      <c r="J33" s="94"/>
      <c r="K33" s="94"/>
      <c r="L33" s="95">
        <f>SUM(L34:L41)</f>
        <v>35967</v>
      </c>
      <c r="M33" s="96"/>
      <c r="N33" s="97">
        <f>L33/8</f>
        <v>4495.875</v>
      </c>
      <c r="O33" s="95">
        <f>SUM(O34:O41)</f>
        <v>83710</v>
      </c>
      <c r="P33" s="96"/>
      <c r="Q33" s="97">
        <f>O33/8</f>
        <v>10463.75</v>
      </c>
      <c r="R33" s="98"/>
      <c r="S33" s="99"/>
      <c r="T33" s="100">
        <f>COUNTIF(T34:T41,"ผ่าน")</f>
        <v>7</v>
      </c>
      <c r="U33" s="101">
        <f>T33*100/8</f>
        <v>87.5</v>
      </c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</row>
    <row r="34" spans="1:55" s="67" customFormat="1" ht="93" x14ac:dyDescent="0.55000000000000004">
      <c r="A34" s="102">
        <v>1</v>
      </c>
      <c r="B34" s="141" t="s">
        <v>192</v>
      </c>
      <c r="C34" s="142" t="s">
        <v>193</v>
      </c>
      <c r="D34" s="143" t="s">
        <v>194</v>
      </c>
      <c r="E34" s="138"/>
      <c r="F34" s="139"/>
      <c r="G34" s="139"/>
      <c r="H34" s="139"/>
      <c r="I34" s="123" t="s">
        <v>94</v>
      </c>
      <c r="J34" s="144" t="s">
        <v>195</v>
      </c>
      <c r="K34" s="145" t="s">
        <v>196</v>
      </c>
      <c r="L34" s="146">
        <v>7353</v>
      </c>
      <c r="M34" s="113"/>
      <c r="N34" s="111"/>
      <c r="O34" s="147">
        <v>19880</v>
      </c>
      <c r="P34" s="113"/>
      <c r="Q34" s="114"/>
      <c r="R34" s="115">
        <f t="shared" ref="R34:R41" si="9">O34-L34</f>
        <v>12527</v>
      </c>
      <c r="S34" s="116">
        <f t="shared" ref="S34:S40" si="10">R34/L34*100</f>
        <v>170.36583707330342</v>
      </c>
      <c r="T34" s="117" t="str">
        <f t="shared" si="8"/>
        <v>ผ่าน</v>
      </c>
      <c r="U34" s="113"/>
    </row>
    <row r="35" spans="1:55" s="67" customFormat="1" ht="48" x14ac:dyDescent="0.55000000000000004">
      <c r="A35" s="102">
        <v>2</v>
      </c>
      <c r="B35" s="141" t="s">
        <v>197</v>
      </c>
      <c r="C35" s="142" t="s">
        <v>193</v>
      </c>
      <c r="D35" s="143" t="s">
        <v>198</v>
      </c>
      <c r="E35" s="138"/>
      <c r="F35" s="139"/>
      <c r="G35" s="139"/>
      <c r="H35" s="139"/>
      <c r="I35" s="123" t="s">
        <v>94</v>
      </c>
      <c r="J35" s="144" t="s">
        <v>195</v>
      </c>
      <c r="K35" s="145" t="s">
        <v>199</v>
      </c>
      <c r="L35" s="146">
        <v>7217</v>
      </c>
      <c r="M35" s="114"/>
      <c r="N35" s="111"/>
      <c r="O35" s="147">
        <v>17850</v>
      </c>
      <c r="P35" s="114"/>
      <c r="Q35" s="114"/>
      <c r="R35" s="115">
        <f t="shared" si="9"/>
        <v>10633</v>
      </c>
      <c r="S35" s="116">
        <f t="shared" si="10"/>
        <v>147.33268671193017</v>
      </c>
      <c r="T35" s="117" t="str">
        <f t="shared" si="8"/>
        <v>ผ่าน</v>
      </c>
      <c r="U35" s="113"/>
    </row>
    <row r="36" spans="1:55" s="67" customFormat="1" ht="69.75" x14ac:dyDescent="0.55000000000000004">
      <c r="A36" s="102">
        <v>3</v>
      </c>
      <c r="B36" s="141" t="s">
        <v>200</v>
      </c>
      <c r="C36" s="142" t="s">
        <v>193</v>
      </c>
      <c r="D36" s="143" t="s">
        <v>201</v>
      </c>
      <c r="E36" s="138"/>
      <c r="F36" s="139"/>
      <c r="G36" s="139"/>
      <c r="H36" s="139"/>
      <c r="I36" s="123" t="s">
        <v>94</v>
      </c>
      <c r="J36" s="144" t="s">
        <v>195</v>
      </c>
      <c r="K36" s="145" t="s">
        <v>202</v>
      </c>
      <c r="L36" s="146">
        <v>0</v>
      </c>
      <c r="M36" s="114"/>
      <c r="N36" s="111"/>
      <c r="O36" s="147">
        <v>3000</v>
      </c>
      <c r="P36" s="114"/>
      <c r="Q36" s="114"/>
      <c r="R36" s="115">
        <f t="shared" si="9"/>
        <v>3000</v>
      </c>
      <c r="S36" s="116">
        <v>100</v>
      </c>
      <c r="T36" s="117" t="str">
        <f t="shared" si="8"/>
        <v>ผ่าน</v>
      </c>
      <c r="U36" s="113"/>
    </row>
    <row r="37" spans="1:55" s="67" customFormat="1" ht="93" x14ac:dyDescent="0.55000000000000004">
      <c r="A37" s="102">
        <v>4</v>
      </c>
      <c r="B37" s="141" t="s">
        <v>203</v>
      </c>
      <c r="C37" s="142" t="s">
        <v>204</v>
      </c>
      <c r="D37" s="143" t="s">
        <v>205</v>
      </c>
      <c r="E37" s="138"/>
      <c r="F37" s="139"/>
      <c r="G37" s="139"/>
      <c r="H37" s="139"/>
      <c r="I37" s="123" t="s">
        <v>94</v>
      </c>
      <c r="J37" s="144" t="s">
        <v>195</v>
      </c>
      <c r="K37" s="145" t="s">
        <v>206</v>
      </c>
      <c r="L37" s="146">
        <v>6417</v>
      </c>
      <c r="M37" s="114"/>
      <c r="N37" s="111"/>
      <c r="O37" s="147">
        <v>16550</v>
      </c>
      <c r="P37" s="114"/>
      <c r="Q37" s="114"/>
      <c r="R37" s="115">
        <f t="shared" si="9"/>
        <v>10133</v>
      </c>
      <c r="S37" s="116">
        <f t="shared" si="10"/>
        <v>157.90868006856786</v>
      </c>
      <c r="T37" s="117" t="str">
        <f t="shared" si="8"/>
        <v>ผ่าน</v>
      </c>
      <c r="U37" s="113"/>
    </row>
    <row r="38" spans="1:55" s="67" customFormat="1" ht="48" x14ac:dyDescent="0.55000000000000004">
      <c r="A38" s="102">
        <v>5</v>
      </c>
      <c r="B38" s="141" t="s">
        <v>207</v>
      </c>
      <c r="C38" s="142" t="s">
        <v>208</v>
      </c>
      <c r="D38" s="143" t="s">
        <v>209</v>
      </c>
      <c r="E38" s="138"/>
      <c r="F38" s="139"/>
      <c r="G38" s="139"/>
      <c r="H38" s="139"/>
      <c r="I38" s="123" t="s">
        <v>94</v>
      </c>
      <c r="J38" s="144" t="s">
        <v>195</v>
      </c>
      <c r="K38" s="145" t="s">
        <v>210</v>
      </c>
      <c r="L38" s="146">
        <v>6477</v>
      </c>
      <c r="M38" s="114"/>
      <c r="N38" s="111"/>
      <c r="O38" s="147">
        <v>7250</v>
      </c>
      <c r="P38" s="114"/>
      <c r="Q38" s="114"/>
      <c r="R38" s="115">
        <f t="shared" si="9"/>
        <v>773</v>
      </c>
      <c r="S38" s="116">
        <f t="shared" si="10"/>
        <v>11.934537594565384</v>
      </c>
      <c r="T38" s="117" t="str">
        <f t="shared" si="8"/>
        <v>ไม่ผ่าน</v>
      </c>
      <c r="U38" s="113"/>
    </row>
    <row r="39" spans="1:55" s="67" customFormat="1" ht="48" x14ac:dyDescent="0.55000000000000004">
      <c r="A39" s="102">
        <v>6</v>
      </c>
      <c r="B39" s="141" t="s">
        <v>211</v>
      </c>
      <c r="C39" s="142" t="s">
        <v>212</v>
      </c>
      <c r="D39" s="143" t="s">
        <v>213</v>
      </c>
      <c r="E39" s="138"/>
      <c r="F39" s="139"/>
      <c r="G39" s="139"/>
      <c r="H39" s="139"/>
      <c r="I39" s="123" t="s">
        <v>94</v>
      </c>
      <c r="J39" s="144" t="s">
        <v>195</v>
      </c>
      <c r="K39" s="145" t="s">
        <v>214</v>
      </c>
      <c r="L39" s="146">
        <v>5825</v>
      </c>
      <c r="M39" s="114"/>
      <c r="N39" s="111"/>
      <c r="O39" s="147">
        <v>10180</v>
      </c>
      <c r="P39" s="114"/>
      <c r="Q39" s="114"/>
      <c r="R39" s="115">
        <f t="shared" si="9"/>
        <v>4355</v>
      </c>
      <c r="S39" s="116">
        <f t="shared" si="10"/>
        <v>74.763948497854088</v>
      </c>
      <c r="T39" s="117" t="str">
        <f t="shared" si="8"/>
        <v>ผ่าน</v>
      </c>
      <c r="U39" s="113"/>
    </row>
    <row r="40" spans="1:55" s="67" customFormat="1" ht="93" x14ac:dyDescent="0.55000000000000004">
      <c r="A40" s="102">
        <v>7</v>
      </c>
      <c r="B40" s="141" t="s">
        <v>215</v>
      </c>
      <c r="C40" s="142" t="s">
        <v>216</v>
      </c>
      <c r="D40" s="143" t="s">
        <v>217</v>
      </c>
      <c r="E40" s="138"/>
      <c r="F40" s="139"/>
      <c r="G40" s="139"/>
      <c r="H40" s="139"/>
      <c r="I40" s="123" t="s">
        <v>94</v>
      </c>
      <c r="J40" s="144" t="s">
        <v>195</v>
      </c>
      <c r="K40" s="145" t="s">
        <v>218</v>
      </c>
      <c r="L40" s="146">
        <v>2678</v>
      </c>
      <c r="M40" s="114"/>
      <c r="N40" s="111"/>
      <c r="O40" s="147">
        <v>6000</v>
      </c>
      <c r="P40" s="114"/>
      <c r="Q40" s="114"/>
      <c r="R40" s="115">
        <f t="shared" si="9"/>
        <v>3322</v>
      </c>
      <c r="S40" s="116">
        <f t="shared" si="10"/>
        <v>124.04779686333084</v>
      </c>
      <c r="T40" s="117" t="str">
        <f t="shared" si="8"/>
        <v>ผ่าน</v>
      </c>
      <c r="U40" s="113"/>
    </row>
    <row r="41" spans="1:55" s="67" customFormat="1" ht="46.5" customHeight="1" x14ac:dyDescent="0.55000000000000004">
      <c r="A41" s="102">
        <v>8</v>
      </c>
      <c r="B41" s="141" t="s">
        <v>219</v>
      </c>
      <c r="C41" s="142" t="s">
        <v>220</v>
      </c>
      <c r="D41" s="143"/>
      <c r="E41" s="138"/>
      <c r="F41" s="139"/>
      <c r="G41" s="139"/>
      <c r="H41" s="139"/>
      <c r="I41" s="123" t="s">
        <v>94</v>
      </c>
      <c r="J41" s="144" t="s">
        <v>195</v>
      </c>
      <c r="K41" s="145" t="s">
        <v>221</v>
      </c>
      <c r="L41" s="146">
        <v>0</v>
      </c>
      <c r="M41" s="114"/>
      <c r="N41" s="111"/>
      <c r="O41" s="147">
        <v>3000</v>
      </c>
      <c r="P41" s="114"/>
      <c r="Q41" s="114"/>
      <c r="R41" s="115">
        <f t="shared" si="9"/>
        <v>3000</v>
      </c>
      <c r="S41" s="116">
        <v>100</v>
      </c>
      <c r="T41" s="117" t="str">
        <f t="shared" si="8"/>
        <v>ผ่าน</v>
      </c>
      <c r="U41" s="113"/>
    </row>
    <row r="42" spans="1:55" s="93" customFormat="1" x14ac:dyDescent="0.55000000000000004">
      <c r="A42" s="90"/>
      <c r="B42" s="91" t="s">
        <v>222</v>
      </c>
      <c r="C42" s="92"/>
      <c r="E42" s="94"/>
      <c r="F42" s="94"/>
      <c r="G42" s="94"/>
      <c r="H42" s="94"/>
      <c r="I42" s="94"/>
      <c r="J42" s="94"/>
      <c r="K42" s="94"/>
      <c r="L42" s="95">
        <f>SUM(L43:L50)</f>
        <v>37700</v>
      </c>
      <c r="M42" s="96"/>
      <c r="N42" s="97">
        <f>L42/8</f>
        <v>4712.5</v>
      </c>
      <c r="O42" s="95">
        <f>SUM(O43:O50)</f>
        <v>62669.416666666672</v>
      </c>
      <c r="P42" s="96"/>
      <c r="Q42" s="97">
        <f>O42/8</f>
        <v>7833.6770833333339</v>
      </c>
      <c r="R42" s="98"/>
      <c r="S42" s="99"/>
      <c r="T42" s="100">
        <f>COUNTIF(T43:T50,"ผ่าน")</f>
        <v>8</v>
      </c>
      <c r="U42" s="101">
        <f>T42*100/8</f>
        <v>100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</row>
    <row r="43" spans="1:55" s="67" customFormat="1" ht="48" x14ac:dyDescent="0.55000000000000004">
      <c r="A43" s="102">
        <v>1</v>
      </c>
      <c r="B43" s="141" t="s">
        <v>223</v>
      </c>
      <c r="C43" s="142" t="s">
        <v>224</v>
      </c>
      <c r="D43" s="148" t="s">
        <v>225</v>
      </c>
      <c r="E43" s="139"/>
      <c r="F43" s="139"/>
      <c r="G43" s="139"/>
      <c r="H43" s="139"/>
      <c r="I43" s="123" t="s">
        <v>94</v>
      </c>
      <c r="J43" s="144" t="s">
        <v>226</v>
      </c>
      <c r="K43" s="149" t="s">
        <v>227</v>
      </c>
      <c r="L43" s="109">
        <f>96000/12</f>
        <v>8000</v>
      </c>
      <c r="M43" s="110"/>
      <c r="N43" s="127"/>
      <c r="O43" s="128">
        <f>154677/12</f>
        <v>12889.75</v>
      </c>
      <c r="P43" s="110"/>
      <c r="Q43" s="114"/>
      <c r="R43" s="115">
        <f t="shared" ref="R43:R50" si="11">O43-L43</f>
        <v>4889.75</v>
      </c>
      <c r="S43" s="116">
        <f t="shared" ref="S43:S50" si="12">R43/L43*100</f>
        <v>61.121875000000003</v>
      </c>
      <c r="T43" s="117" t="str">
        <f t="shared" ref="T43:T77" si="13">IF(S43&gt;=40,"ผ่าน","ไม่ผ่าน")</f>
        <v>ผ่าน</v>
      </c>
      <c r="U43" s="113"/>
    </row>
    <row r="44" spans="1:55" s="67" customFormat="1" ht="48" x14ac:dyDescent="0.55000000000000004">
      <c r="A44" s="102">
        <v>2</v>
      </c>
      <c r="B44" s="141" t="s">
        <v>228</v>
      </c>
      <c r="C44" s="142" t="s">
        <v>229</v>
      </c>
      <c r="D44" s="148" t="s">
        <v>230</v>
      </c>
      <c r="E44" s="139"/>
      <c r="F44" s="139"/>
      <c r="G44" s="139"/>
      <c r="H44" s="139"/>
      <c r="I44" s="123" t="s">
        <v>94</v>
      </c>
      <c r="J44" s="144" t="s">
        <v>226</v>
      </c>
      <c r="K44" s="149" t="s">
        <v>231</v>
      </c>
      <c r="L44" s="109">
        <f>24000/12</f>
        <v>2000</v>
      </c>
      <c r="M44" s="118"/>
      <c r="N44" s="127"/>
      <c r="O44" s="128">
        <f>50666/12</f>
        <v>4222.166666666667</v>
      </c>
      <c r="P44" s="118"/>
      <c r="Q44" s="114"/>
      <c r="R44" s="115">
        <f t="shared" si="11"/>
        <v>2222.166666666667</v>
      </c>
      <c r="S44" s="116">
        <f t="shared" si="12"/>
        <v>111.10833333333335</v>
      </c>
      <c r="T44" s="117" t="str">
        <f t="shared" si="13"/>
        <v>ผ่าน</v>
      </c>
      <c r="U44" s="113"/>
    </row>
    <row r="45" spans="1:55" s="67" customFormat="1" ht="48" x14ac:dyDescent="0.55000000000000004">
      <c r="A45" s="102">
        <v>3</v>
      </c>
      <c r="B45" s="141" t="s">
        <v>232</v>
      </c>
      <c r="C45" s="142" t="s">
        <v>233</v>
      </c>
      <c r="D45" s="148" t="s">
        <v>234</v>
      </c>
      <c r="E45" s="139"/>
      <c r="F45" s="139"/>
      <c r="G45" s="139"/>
      <c r="H45" s="139"/>
      <c r="I45" s="123" t="s">
        <v>94</v>
      </c>
      <c r="J45" s="144" t="s">
        <v>226</v>
      </c>
      <c r="K45" s="149" t="s">
        <v>235</v>
      </c>
      <c r="L45" s="109">
        <f>8400/12</f>
        <v>700</v>
      </c>
      <c r="M45" s="118"/>
      <c r="N45" s="127"/>
      <c r="O45" s="128">
        <f>17717/12</f>
        <v>1476.4166666666667</v>
      </c>
      <c r="P45" s="118"/>
      <c r="Q45" s="114"/>
      <c r="R45" s="115">
        <f t="shared" si="11"/>
        <v>776.41666666666674</v>
      </c>
      <c r="S45" s="116">
        <f t="shared" si="12"/>
        <v>110.91666666666669</v>
      </c>
      <c r="T45" s="117" t="str">
        <f t="shared" si="13"/>
        <v>ผ่าน</v>
      </c>
      <c r="U45" s="113"/>
    </row>
    <row r="46" spans="1:55" s="67" customFormat="1" ht="48" x14ac:dyDescent="0.55000000000000004">
      <c r="A46" s="102">
        <v>4</v>
      </c>
      <c r="B46" s="141" t="s">
        <v>236</v>
      </c>
      <c r="C46" s="142" t="s">
        <v>237</v>
      </c>
      <c r="D46" s="148" t="s">
        <v>238</v>
      </c>
      <c r="E46" s="139"/>
      <c r="F46" s="139"/>
      <c r="G46" s="139"/>
      <c r="H46" s="139"/>
      <c r="I46" s="123" t="s">
        <v>94</v>
      </c>
      <c r="J46" s="144" t="s">
        <v>226</v>
      </c>
      <c r="K46" s="149" t="s">
        <v>231</v>
      </c>
      <c r="L46" s="109">
        <f>60000/12</f>
        <v>5000</v>
      </c>
      <c r="M46" s="118"/>
      <c r="N46" s="127"/>
      <c r="O46" s="128">
        <f>97338/12</f>
        <v>8111.5</v>
      </c>
      <c r="P46" s="118"/>
      <c r="Q46" s="114"/>
      <c r="R46" s="115">
        <f t="shared" si="11"/>
        <v>3111.5</v>
      </c>
      <c r="S46" s="116">
        <f t="shared" si="12"/>
        <v>62.23</v>
      </c>
      <c r="T46" s="117" t="str">
        <f t="shared" si="13"/>
        <v>ผ่าน</v>
      </c>
      <c r="U46" s="113"/>
    </row>
    <row r="47" spans="1:55" s="67" customFormat="1" ht="48" x14ac:dyDescent="0.55000000000000004">
      <c r="A47" s="102">
        <v>5</v>
      </c>
      <c r="B47" s="141" t="s">
        <v>239</v>
      </c>
      <c r="C47" s="142" t="s">
        <v>240</v>
      </c>
      <c r="D47" s="148" t="s">
        <v>241</v>
      </c>
      <c r="E47" s="139"/>
      <c r="F47" s="139"/>
      <c r="G47" s="139"/>
      <c r="H47" s="139"/>
      <c r="I47" s="123" t="s">
        <v>94</v>
      </c>
      <c r="J47" s="144" t="s">
        <v>226</v>
      </c>
      <c r="K47" s="149" t="s">
        <v>242</v>
      </c>
      <c r="L47" s="109">
        <f>60000/12</f>
        <v>5000</v>
      </c>
      <c r="M47" s="118"/>
      <c r="N47" s="127"/>
      <c r="O47" s="128">
        <f>99096/12</f>
        <v>8258</v>
      </c>
      <c r="P47" s="118"/>
      <c r="Q47" s="114"/>
      <c r="R47" s="115">
        <f t="shared" si="11"/>
        <v>3258</v>
      </c>
      <c r="S47" s="116">
        <f t="shared" si="12"/>
        <v>65.16</v>
      </c>
      <c r="T47" s="117" t="str">
        <f t="shared" si="13"/>
        <v>ผ่าน</v>
      </c>
      <c r="U47" s="113"/>
    </row>
    <row r="48" spans="1:55" s="67" customFormat="1" ht="48" x14ac:dyDescent="0.55000000000000004">
      <c r="A48" s="102">
        <v>6</v>
      </c>
      <c r="B48" s="141" t="s">
        <v>243</v>
      </c>
      <c r="C48" s="142" t="s">
        <v>244</v>
      </c>
      <c r="D48" s="148" t="s">
        <v>245</v>
      </c>
      <c r="E48" s="139"/>
      <c r="F48" s="139"/>
      <c r="G48" s="139"/>
      <c r="H48" s="139"/>
      <c r="I48" s="123" t="s">
        <v>94</v>
      </c>
      <c r="J48" s="144" t="s">
        <v>226</v>
      </c>
      <c r="K48" s="149" t="s">
        <v>246</v>
      </c>
      <c r="L48" s="109">
        <f>72000/12</f>
        <v>6000</v>
      </c>
      <c r="M48" s="118"/>
      <c r="N48" s="127"/>
      <c r="O48" s="128">
        <f>116019/12</f>
        <v>9668.25</v>
      </c>
      <c r="P48" s="118"/>
      <c r="Q48" s="114"/>
      <c r="R48" s="115">
        <f t="shared" si="11"/>
        <v>3668.25</v>
      </c>
      <c r="S48" s="116">
        <f t="shared" si="12"/>
        <v>61.137500000000003</v>
      </c>
      <c r="T48" s="117" t="str">
        <f t="shared" si="13"/>
        <v>ผ่าน</v>
      </c>
      <c r="U48" s="113"/>
    </row>
    <row r="49" spans="1:55" s="67" customFormat="1" ht="48" x14ac:dyDescent="0.55000000000000004">
      <c r="A49" s="102">
        <v>7</v>
      </c>
      <c r="B49" s="141" t="s">
        <v>247</v>
      </c>
      <c r="C49" s="142" t="s">
        <v>248</v>
      </c>
      <c r="D49" s="148" t="s">
        <v>249</v>
      </c>
      <c r="E49" s="139"/>
      <c r="F49" s="139"/>
      <c r="G49" s="139"/>
      <c r="H49" s="139"/>
      <c r="I49" s="123" t="s">
        <v>94</v>
      </c>
      <c r="J49" s="144" t="s">
        <v>226</v>
      </c>
      <c r="K49" s="149" t="s">
        <v>227</v>
      </c>
      <c r="L49" s="109">
        <f>60000/12</f>
        <v>5000</v>
      </c>
      <c r="M49" s="118"/>
      <c r="N49" s="127"/>
      <c r="O49" s="128">
        <f>99970/12</f>
        <v>8330.8333333333339</v>
      </c>
      <c r="P49" s="118"/>
      <c r="Q49" s="114"/>
      <c r="R49" s="115">
        <f t="shared" si="11"/>
        <v>3330.8333333333339</v>
      </c>
      <c r="S49" s="116">
        <f t="shared" si="12"/>
        <v>66.616666666666674</v>
      </c>
      <c r="T49" s="117" t="str">
        <f t="shared" si="13"/>
        <v>ผ่าน</v>
      </c>
      <c r="U49" s="113"/>
    </row>
    <row r="50" spans="1:55" s="67" customFormat="1" ht="48" x14ac:dyDescent="0.55000000000000004">
      <c r="A50" s="102">
        <v>8</v>
      </c>
      <c r="B50" s="141" t="s">
        <v>250</v>
      </c>
      <c r="C50" s="142" t="s">
        <v>251</v>
      </c>
      <c r="D50" s="148" t="s">
        <v>252</v>
      </c>
      <c r="E50" s="139"/>
      <c r="F50" s="139"/>
      <c r="G50" s="139"/>
      <c r="H50" s="139"/>
      <c r="I50" s="123" t="s">
        <v>94</v>
      </c>
      <c r="J50" s="144" t="s">
        <v>226</v>
      </c>
      <c r="K50" s="150" t="s">
        <v>242</v>
      </c>
      <c r="L50" s="109">
        <f>72000/12</f>
        <v>6000</v>
      </c>
      <c r="M50" s="118"/>
      <c r="N50" s="127"/>
      <c r="O50" s="128">
        <f>116550/12</f>
        <v>9712.5</v>
      </c>
      <c r="P50" s="118"/>
      <c r="Q50" s="114"/>
      <c r="R50" s="115">
        <f t="shared" si="11"/>
        <v>3712.5</v>
      </c>
      <c r="S50" s="116">
        <f t="shared" si="12"/>
        <v>61.875</v>
      </c>
      <c r="T50" s="117" t="str">
        <f t="shared" si="13"/>
        <v>ผ่าน</v>
      </c>
      <c r="U50" s="113"/>
    </row>
    <row r="51" spans="1:55" s="93" customFormat="1" x14ac:dyDescent="0.55000000000000004">
      <c r="A51" s="90"/>
      <c r="B51" s="91" t="s">
        <v>253</v>
      </c>
      <c r="C51" s="92"/>
      <c r="E51" s="94"/>
      <c r="F51" s="94"/>
      <c r="G51" s="94"/>
      <c r="H51" s="94"/>
      <c r="I51" s="94"/>
      <c r="J51" s="94"/>
      <c r="K51" s="94"/>
      <c r="L51" s="95">
        <f>SUM(L52:L59)</f>
        <v>35138.750000000007</v>
      </c>
      <c r="M51" s="96"/>
      <c r="N51" s="97">
        <f>L51/8</f>
        <v>4392.3437500000009</v>
      </c>
      <c r="O51" s="95">
        <f>SUM(O52:O59)</f>
        <v>49010.083333333336</v>
      </c>
      <c r="P51" s="96"/>
      <c r="Q51" s="97">
        <f>O51/8</f>
        <v>6126.260416666667</v>
      </c>
      <c r="R51" s="98"/>
      <c r="S51" s="99"/>
      <c r="T51" s="100">
        <f>COUNTIF(T52:T59,"ผ่าน")</f>
        <v>5</v>
      </c>
      <c r="U51" s="101">
        <f>T51*100/8</f>
        <v>62.5</v>
      </c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</row>
    <row r="52" spans="1:55" s="67" customFormat="1" ht="48" x14ac:dyDescent="0.55000000000000004">
      <c r="A52" s="102">
        <v>1</v>
      </c>
      <c r="B52" s="103" t="s">
        <v>254</v>
      </c>
      <c r="C52" s="151" t="s">
        <v>255</v>
      </c>
      <c r="D52" s="152" t="s">
        <v>256</v>
      </c>
      <c r="E52" s="139"/>
      <c r="F52" s="139"/>
      <c r="G52" s="139"/>
      <c r="H52" s="139"/>
      <c r="I52" s="123" t="s">
        <v>94</v>
      </c>
      <c r="J52" s="153" t="s">
        <v>257</v>
      </c>
      <c r="K52" s="131" t="s">
        <v>258</v>
      </c>
      <c r="L52" s="109">
        <f>56586/12</f>
        <v>4715.5</v>
      </c>
      <c r="M52" s="110"/>
      <c r="N52" s="111"/>
      <c r="O52" s="112">
        <f>79342/12</f>
        <v>6611.833333333333</v>
      </c>
      <c r="P52" s="113"/>
      <c r="Q52" s="114"/>
      <c r="R52" s="115">
        <f t="shared" ref="R52:R59" si="14">O52-L52</f>
        <v>1896.333333333333</v>
      </c>
      <c r="S52" s="116">
        <f t="shared" ref="S52:S59" si="15">R52/L52*100</f>
        <v>40.214894143427699</v>
      </c>
      <c r="T52" s="117" t="str">
        <f t="shared" si="13"/>
        <v>ผ่าน</v>
      </c>
      <c r="U52" s="113"/>
    </row>
    <row r="53" spans="1:55" s="67" customFormat="1" ht="48" x14ac:dyDescent="0.55000000000000004">
      <c r="A53" s="102">
        <v>2</v>
      </c>
      <c r="B53" s="103" t="s">
        <v>259</v>
      </c>
      <c r="C53" s="151" t="s">
        <v>260</v>
      </c>
      <c r="D53" s="152" t="s">
        <v>261</v>
      </c>
      <c r="E53" s="139"/>
      <c r="F53" s="139"/>
      <c r="G53" s="139"/>
      <c r="H53" s="139"/>
      <c r="I53" s="123" t="s">
        <v>94</v>
      </c>
      <c r="J53" s="153" t="s">
        <v>257</v>
      </c>
      <c r="K53" s="131" t="s">
        <v>258</v>
      </c>
      <c r="L53" s="109">
        <f>49860/12</f>
        <v>4155</v>
      </c>
      <c r="M53" s="118"/>
      <c r="N53" s="111"/>
      <c r="O53" s="112">
        <f>78022/12</f>
        <v>6501.833333333333</v>
      </c>
      <c r="P53" s="114"/>
      <c r="Q53" s="114"/>
      <c r="R53" s="115">
        <f t="shared" si="14"/>
        <v>2346.833333333333</v>
      </c>
      <c r="S53" s="116">
        <f t="shared" si="15"/>
        <v>56.482150020056153</v>
      </c>
      <c r="T53" s="117" t="str">
        <f t="shared" si="13"/>
        <v>ผ่าน</v>
      </c>
      <c r="U53" s="113"/>
    </row>
    <row r="54" spans="1:55" s="67" customFormat="1" ht="48" x14ac:dyDescent="0.55000000000000004">
      <c r="A54" s="102">
        <v>3</v>
      </c>
      <c r="B54" s="103" t="s">
        <v>262</v>
      </c>
      <c r="C54" s="151" t="s">
        <v>263</v>
      </c>
      <c r="D54" s="154" t="s">
        <v>264</v>
      </c>
      <c r="E54" s="139"/>
      <c r="F54" s="139"/>
      <c r="G54" s="139"/>
      <c r="H54" s="139"/>
      <c r="I54" s="123" t="s">
        <v>94</v>
      </c>
      <c r="J54" s="153" t="s">
        <v>257</v>
      </c>
      <c r="K54" s="131" t="s">
        <v>258</v>
      </c>
      <c r="L54" s="109">
        <f>53472/12</f>
        <v>4456</v>
      </c>
      <c r="M54" s="118"/>
      <c r="N54" s="111"/>
      <c r="O54" s="112">
        <f>73482/12</f>
        <v>6123.5</v>
      </c>
      <c r="P54" s="114"/>
      <c r="Q54" s="114"/>
      <c r="R54" s="115">
        <f t="shared" si="14"/>
        <v>1667.5</v>
      </c>
      <c r="S54" s="116">
        <f t="shared" si="15"/>
        <v>37.421454219030522</v>
      </c>
      <c r="T54" s="117" t="str">
        <f t="shared" si="13"/>
        <v>ไม่ผ่าน</v>
      </c>
      <c r="U54" s="113"/>
    </row>
    <row r="55" spans="1:55" s="67" customFormat="1" ht="48" x14ac:dyDescent="0.55000000000000004">
      <c r="A55" s="102">
        <v>4</v>
      </c>
      <c r="B55" s="103" t="s">
        <v>265</v>
      </c>
      <c r="C55" s="151" t="s">
        <v>266</v>
      </c>
      <c r="D55" s="154" t="s">
        <v>267</v>
      </c>
      <c r="E55" s="139"/>
      <c r="F55" s="139"/>
      <c r="G55" s="139"/>
      <c r="H55" s="139"/>
      <c r="I55" s="123" t="s">
        <v>94</v>
      </c>
      <c r="J55" s="153" t="s">
        <v>257</v>
      </c>
      <c r="K55" s="131" t="s">
        <v>258</v>
      </c>
      <c r="L55" s="109">
        <f>52922/12</f>
        <v>4410.166666666667</v>
      </c>
      <c r="M55" s="118"/>
      <c r="N55" s="111"/>
      <c r="O55" s="112">
        <f>66342/12</f>
        <v>5528.5</v>
      </c>
      <c r="P55" s="114"/>
      <c r="Q55" s="114"/>
      <c r="R55" s="115">
        <f t="shared" si="14"/>
        <v>1118.333333333333</v>
      </c>
      <c r="S55" s="116">
        <f t="shared" si="15"/>
        <v>25.358074146857629</v>
      </c>
      <c r="T55" s="117" t="str">
        <f t="shared" si="13"/>
        <v>ไม่ผ่าน</v>
      </c>
      <c r="U55" s="113"/>
    </row>
    <row r="56" spans="1:55" s="67" customFormat="1" ht="48" x14ac:dyDescent="0.55000000000000004">
      <c r="A56" s="102">
        <v>5</v>
      </c>
      <c r="B56" s="103" t="s">
        <v>268</v>
      </c>
      <c r="C56" s="151" t="s">
        <v>269</v>
      </c>
      <c r="D56" s="154" t="s">
        <v>270</v>
      </c>
      <c r="E56" s="139"/>
      <c r="F56" s="139"/>
      <c r="G56" s="139"/>
      <c r="H56" s="139"/>
      <c r="I56" s="123" t="s">
        <v>94</v>
      </c>
      <c r="J56" s="153" t="s">
        <v>257</v>
      </c>
      <c r="K56" s="131" t="s">
        <v>258</v>
      </c>
      <c r="L56" s="109">
        <f>52346/12</f>
        <v>4362.166666666667</v>
      </c>
      <c r="M56" s="118"/>
      <c r="N56" s="111"/>
      <c r="O56" s="112">
        <f>76902/12</f>
        <v>6408.5</v>
      </c>
      <c r="P56" s="114"/>
      <c r="Q56" s="114"/>
      <c r="R56" s="115">
        <f t="shared" si="14"/>
        <v>2046.333333333333</v>
      </c>
      <c r="S56" s="116">
        <f t="shared" si="15"/>
        <v>46.910938753677442</v>
      </c>
      <c r="T56" s="117" t="str">
        <f t="shared" si="13"/>
        <v>ผ่าน</v>
      </c>
      <c r="U56" s="113"/>
    </row>
    <row r="57" spans="1:55" s="67" customFormat="1" ht="48" x14ac:dyDescent="0.55000000000000004">
      <c r="A57" s="102">
        <v>6</v>
      </c>
      <c r="B57" s="103" t="s">
        <v>271</v>
      </c>
      <c r="C57" s="151" t="s">
        <v>272</v>
      </c>
      <c r="D57" s="154" t="s">
        <v>273</v>
      </c>
      <c r="E57" s="139"/>
      <c r="F57" s="139"/>
      <c r="G57" s="139"/>
      <c r="H57" s="139"/>
      <c r="I57" s="123" t="s">
        <v>94</v>
      </c>
      <c r="J57" s="153" t="s">
        <v>257</v>
      </c>
      <c r="K57" s="131" t="s">
        <v>258</v>
      </c>
      <c r="L57" s="109">
        <f>50822/12</f>
        <v>4235.166666666667</v>
      </c>
      <c r="M57" s="118"/>
      <c r="N57" s="111"/>
      <c r="O57" s="112">
        <f>64492/12</f>
        <v>5374.333333333333</v>
      </c>
      <c r="P57" s="114"/>
      <c r="Q57" s="114"/>
      <c r="R57" s="115">
        <f t="shared" si="14"/>
        <v>1139.1666666666661</v>
      </c>
      <c r="S57" s="116">
        <f t="shared" si="15"/>
        <v>26.897800165282739</v>
      </c>
      <c r="T57" s="117" t="str">
        <f t="shared" si="13"/>
        <v>ไม่ผ่าน</v>
      </c>
      <c r="U57" s="113"/>
    </row>
    <row r="58" spans="1:55" s="67" customFormat="1" ht="48" x14ac:dyDescent="0.55000000000000004">
      <c r="A58" s="102">
        <v>7</v>
      </c>
      <c r="B58" s="103" t="s">
        <v>274</v>
      </c>
      <c r="C58" s="151" t="s">
        <v>275</v>
      </c>
      <c r="D58" s="154" t="s">
        <v>276</v>
      </c>
      <c r="E58" s="139"/>
      <c r="F58" s="139"/>
      <c r="G58" s="139"/>
      <c r="H58" s="139"/>
      <c r="I58" s="123" t="s">
        <v>94</v>
      </c>
      <c r="J58" s="153" t="s">
        <v>257</v>
      </c>
      <c r="K58" s="131" t="s">
        <v>258</v>
      </c>
      <c r="L58" s="109">
        <f>50960/12</f>
        <v>4246.666666666667</v>
      </c>
      <c r="M58" s="118"/>
      <c r="N58" s="111"/>
      <c r="O58" s="112">
        <f>71667/12</f>
        <v>5972.25</v>
      </c>
      <c r="P58" s="114"/>
      <c r="Q58" s="114"/>
      <c r="R58" s="115">
        <f t="shared" si="14"/>
        <v>1725.583333333333</v>
      </c>
      <c r="S58" s="116">
        <f t="shared" si="15"/>
        <v>40.633830455259016</v>
      </c>
      <c r="T58" s="117" t="str">
        <f t="shared" si="13"/>
        <v>ผ่าน</v>
      </c>
      <c r="U58" s="113"/>
    </row>
    <row r="59" spans="1:55" s="67" customFormat="1" ht="48" x14ac:dyDescent="0.55000000000000004">
      <c r="A59" s="102">
        <v>8</v>
      </c>
      <c r="B59" s="103" t="s">
        <v>277</v>
      </c>
      <c r="C59" s="151" t="s">
        <v>278</v>
      </c>
      <c r="D59" s="154" t="s">
        <v>279</v>
      </c>
      <c r="E59" s="139"/>
      <c r="F59" s="139"/>
      <c r="G59" s="139"/>
      <c r="H59" s="139"/>
      <c r="I59" s="123" t="s">
        <v>94</v>
      </c>
      <c r="J59" s="153" t="s">
        <v>257</v>
      </c>
      <c r="K59" s="131" t="s">
        <v>258</v>
      </c>
      <c r="L59" s="109">
        <f>54697/12</f>
        <v>4558.083333333333</v>
      </c>
      <c r="M59" s="118"/>
      <c r="N59" s="111"/>
      <c r="O59" s="112">
        <f>77872/12</f>
        <v>6489.333333333333</v>
      </c>
      <c r="P59" s="114"/>
      <c r="Q59" s="114"/>
      <c r="R59" s="115">
        <f t="shared" si="14"/>
        <v>1931.25</v>
      </c>
      <c r="S59" s="116">
        <f t="shared" si="15"/>
        <v>42.369782620619048</v>
      </c>
      <c r="T59" s="117" t="str">
        <f t="shared" si="13"/>
        <v>ผ่าน</v>
      </c>
      <c r="U59" s="113"/>
    </row>
    <row r="60" spans="1:55" s="93" customFormat="1" x14ac:dyDescent="0.55000000000000004">
      <c r="A60" s="90"/>
      <c r="B60" s="91" t="s">
        <v>280</v>
      </c>
      <c r="C60" s="92"/>
      <c r="E60" s="94"/>
      <c r="F60" s="94"/>
      <c r="G60" s="94"/>
      <c r="H60" s="94"/>
      <c r="I60" s="94"/>
      <c r="J60" s="94"/>
      <c r="K60" s="94"/>
      <c r="L60" s="95">
        <f>SUM(L61:L68)</f>
        <v>39500</v>
      </c>
      <c r="M60" s="96"/>
      <c r="N60" s="97">
        <f>L60/8</f>
        <v>4937.5</v>
      </c>
      <c r="O60" s="95">
        <f>SUM(O61:O68)</f>
        <v>55262.5</v>
      </c>
      <c r="P60" s="96"/>
      <c r="Q60" s="97">
        <f>O60/8</f>
        <v>6907.8125</v>
      </c>
      <c r="R60" s="98"/>
      <c r="S60" s="99"/>
      <c r="T60" s="100">
        <f>COUNTIF(T61:T68,"ผ่าน")</f>
        <v>7</v>
      </c>
      <c r="U60" s="101">
        <f>T60*100/8</f>
        <v>87.5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</row>
    <row r="61" spans="1:55" s="67" customFormat="1" ht="48" x14ac:dyDescent="0.55000000000000004">
      <c r="A61" s="102">
        <v>1</v>
      </c>
      <c r="B61" s="103" t="s">
        <v>281</v>
      </c>
      <c r="C61" s="151" t="s">
        <v>282</v>
      </c>
      <c r="D61" s="144" t="s">
        <v>283</v>
      </c>
      <c r="E61" s="144"/>
      <c r="F61" s="144"/>
      <c r="G61" s="144"/>
      <c r="H61" s="144"/>
      <c r="I61" s="123" t="s">
        <v>94</v>
      </c>
      <c r="J61" s="134" t="s">
        <v>284</v>
      </c>
      <c r="K61" s="134" t="s">
        <v>285</v>
      </c>
      <c r="L61" s="109">
        <f>60000/12</f>
        <v>5000</v>
      </c>
      <c r="M61" s="110"/>
      <c r="N61" s="111"/>
      <c r="O61" s="155">
        <f>87200/12</f>
        <v>7266.666666666667</v>
      </c>
      <c r="P61" s="113"/>
      <c r="Q61" s="114"/>
      <c r="R61" s="115">
        <f t="shared" ref="R61:R68" si="16">O61-L61</f>
        <v>2266.666666666667</v>
      </c>
      <c r="S61" s="116">
        <f t="shared" ref="S61:S68" si="17">R61/L61*100</f>
        <v>45.333333333333343</v>
      </c>
      <c r="T61" s="117" t="str">
        <f t="shared" si="13"/>
        <v>ผ่าน</v>
      </c>
      <c r="U61" s="113"/>
    </row>
    <row r="62" spans="1:55" s="67" customFormat="1" ht="48" x14ac:dyDescent="0.55000000000000004">
      <c r="A62" s="102">
        <v>2</v>
      </c>
      <c r="B62" s="103" t="s">
        <v>286</v>
      </c>
      <c r="C62" s="151" t="s">
        <v>287</v>
      </c>
      <c r="D62" s="144" t="s">
        <v>288</v>
      </c>
      <c r="E62" s="144"/>
      <c r="F62" s="144"/>
      <c r="G62" s="144"/>
      <c r="H62" s="144"/>
      <c r="I62" s="123" t="s">
        <v>94</v>
      </c>
      <c r="J62" s="134" t="s">
        <v>284</v>
      </c>
      <c r="K62" s="134" t="s">
        <v>285</v>
      </c>
      <c r="L62" s="109">
        <f>48000/12</f>
        <v>4000</v>
      </c>
      <c r="M62" s="118"/>
      <c r="N62" s="111"/>
      <c r="O62" s="155">
        <f>78700/12</f>
        <v>6558.333333333333</v>
      </c>
      <c r="P62" s="114"/>
      <c r="Q62" s="114"/>
      <c r="R62" s="115">
        <f t="shared" si="16"/>
        <v>2558.333333333333</v>
      </c>
      <c r="S62" s="116">
        <f t="shared" si="17"/>
        <v>63.958333333333329</v>
      </c>
      <c r="T62" s="117" t="str">
        <f t="shared" si="13"/>
        <v>ผ่าน</v>
      </c>
      <c r="U62" s="113"/>
    </row>
    <row r="63" spans="1:55" s="67" customFormat="1" ht="48" x14ac:dyDescent="0.55000000000000004">
      <c r="A63" s="102">
        <v>3</v>
      </c>
      <c r="B63" s="103" t="s">
        <v>289</v>
      </c>
      <c r="C63" s="151" t="s">
        <v>290</v>
      </c>
      <c r="D63" s="144" t="s">
        <v>291</v>
      </c>
      <c r="E63" s="138"/>
      <c r="F63" s="139"/>
      <c r="G63" s="139"/>
      <c r="H63" s="139"/>
      <c r="I63" s="123" t="s">
        <v>94</v>
      </c>
      <c r="J63" s="134" t="s">
        <v>284</v>
      </c>
      <c r="K63" s="134" t="s">
        <v>285</v>
      </c>
      <c r="L63" s="109">
        <f>55000/12</f>
        <v>4583.333333333333</v>
      </c>
      <c r="M63" s="118"/>
      <c r="N63" s="111"/>
      <c r="O63" s="155">
        <f>82600/12</f>
        <v>6883.333333333333</v>
      </c>
      <c r="P63" s="114"/>
      <c r="Q63" s="114"/>
      <c r="R63" s="115">
        <f t="shared" si="16"/>
        <v>2300</v>
      </c>
      <c r="S63" s="116">
        <f t="shared" si="17"/>
        <v>50.18181818181818</v>
      </c>
      <c r="T63" s="117" t="str">
        <f t="shared" si="13"/>
        <v>ผ่าน</v>
      </c>
      <c r="U63" s="113"/>
    </row>
    <row r="64" spans="1:55" s="67" customFormat="1" ht="48" x14ac:dyDescent="0.55000000000000004">
      <c r="A64" s="102">
        <v>4</v>
      </c>
      <c r="B64" s="103" t="s">
        <v>292</v>
      </c>
      <c r="C64" s="151" t="s">
        <v>293</v>
      </c>
      <c r="D64" s="144" t="s">
        <v>294</v>
      </c>
      <c r="E64" s="138"/>
      <c r="F64" s="139"/>
      <c r="G64" s="139"/>
      <c r="H64" s="139"/>
      <c r="I64" s="123" t="s">
        <v>94</v>
      </c>
      <c r="J64" s="134" t="s">
        <v>284</v>
      </c>
      <c r="K64" s="134" t="s">
        <v>285</v>
      </c>
      <c r="L64" s="109">
        <f>50000/12</f>
        <v>4166.666666666667</v>
      </c>
      <c r="M64" s="118"/>
      <c r="N64" s="111"/>
      <c r="O64" s="155">
        <f>71550/12</f>
        <v>5962.5</v>
      </c>
      <c r="P64" s="114"/>
      <c r="Q64" s="114"/>
      <c r="R64" s="115">
        <f t="shared" si="16"/>
        <v>1795.833333333333</v>
      </c>
      <c r="S64" s="116">
        <f t="shared" si="17"/>
        <v>43.099999999999987</v>
      </c>
      <c r="T64" s="117" t="str">
        <f t="shared" si="13"/>
        <v>ผ่าน</v>
      </c>
      <c r="U64" s="113"/>
    </row>
    <row r="65" spans="1:55" s="67" customFormat="1" ht="48" x14ac:dyDescent="0.55000000000000004">
      <c r="A65" s="102">
        <v>5</v>
      </c>
      <c r="B65" s="103" t="s">
        <v>295</v>
      </c>
      <c r="C65" s="151" t="s">
        <v>296</v>
      </c>
      <c r="D65" s="144" t="s">
        <v>297</v>
      </c>
      <c r="E65" s="138"/>
      <c r="F65" s="139"/>
      <c r="G65" s="139"/>
      <c r="H65" s="139"/>
      <c r="I65" s="123" t="s">
        <v>94</v>
      </c>
      <c r="J65" s="134" t="s">
        <v>284</v>
      </c>
      <c r="K65" s="134" t="s">
        <v>285</v>
      </c>
      <c r="L65" s="109">
        <f>45000/12</f>
        <v>3750</v>
      </c>
      <c r="M65" s="118"/>
      <c r="N65" s="111"/>
      <c r="O65" s="155">
        <f>64800/12</f>
        <v>5400</v>
      </c>
      <c r="P65" s="114"/>
      <c r="Q65" s="114"/>
      <c r="R65" s="115">
        <f t="shared" si="16"/>
        <v>1650</v>
      </c>
      <c r="S65" s="116">
        <f t="shared" si="17"/>
        <v>44</v>
      </c>
      <c r="T65" s="117" t="str">
        <f t="shared" si="13"/>
        <v>ผ่าน</v>
      </c>
      <c r="U65" s="113"/>
    </row>
    <row r="66" spans="1:55" s="67" customFormat="1" ht="48" x14ac:dyDescent="0.55000000000000004">
      <c r="A66" s="102">
        <v>6</v>
      </c>
      <c r="B66" s="103" t="s">
        <v>298</v>
      </c>
      <c r="C66" s="151" t="s">
        <v>299</v>
      </c>
      <c r="D66" s="144" t="s">
        <v>300</v>
      </c>
      <c r="E66" s="138"/>
      <c r="F66" s="139"/>
      <c r="G66" s="139"/>
      <c r="H66" s="139"/>
      <c r="I66" s="123" t="s">
        <v>94</v>
      </c>
      <c r="J66" s="134" t="s">
        <v>284</v>
      </c>
      <c r="K66" s="134" t="s">
        <v>285</v>
      </c>
      <c r="L66" s="109">
        <f>60000/12</f>
        <v>5000</v>
      </c>
      <c r="M66" s="118"/>
      <c r="N66" s="111"/>
      <c r="O66" s="155">
        <f>84800/12</f>
        <v>7066.666666666667</v>
      </c>
      <c r="P66" s="114"/>
      <c r="Q66" s="114"/>
      <c r="R66" s="115">
        <f t="shared" si="16"/>
        <v>2066.666666666667</v>
      </c>
      <c r="S66" s="116">
        <f t="shared" si="17"/>
        <v>41.333333333333336</v>
      </c>
      <c r="T66" s="117" t="str">
        <f t="shared" si="13"/>
        <v>ผ่าน</v>
      </c>
      <c r="U66" s="113"/>
    </row>
    <row r="67" spans="1:55" s="67" customFormat="1" ht="48" x14ac:dyDescent="0.55000000000000004">
      <c r="A67" s="102">
        <v>7</v>
      </c>
      <c r="B67" s="103" t="s">
        <v>301</v>
      </c>
      <c r="C67" s="151" t="s">
        <v>302</v>
      </c>
      <c r="D67" s="144" t="s">
        <v>303</v>
      </c>
      <c r="E67" s="138"/>
      <c r="F67" s="139"/>
      <c r="G67" s="139"/>
      <c r="H67" s="139"/>
      <c r="I67" s="123" t="s">
        <v>94</v>
      </c>
      <c r="J67" s="134" t="s">
        <v>284</v>
      </c>
      <c r="K67" s="134" t="s">
        <v>285</v>
      </c>
      <c r="L67" s="109">
        <f>36000/12</f>
        <v>3000</v>
      </c>
      <c r="M67" s="118"/>
      <c r="N67" s="111"/>
      <c r="O67" s="155">
        <f>53900/12</f>
        <v>4491.666666666667</v>
      </c>
      <c r="P67" s="114"/>
      <c r="Q67" s="114"/>
      <c r="R67" s="115">
        <f t="shared" si="16"/>
        <v>1491.666666666667</v>
      </c>
      <c r="S67" s="116">
        <f t="shared" si="17"/>
        <v>49.722222222222236</v>
      </c>
      <c r="T67" s="117" t="str">
        <f t="shared" si="13"/>
        <v>ผ่าน</v>
      </c>
      <c r="U67" s="113"/>
    </row>
    <row r="68" spans="1:55" s="67" customFormat="1" ht="48" x14ac:dyDescent="0.55000000000000004">
      <c r="A68" s="102">
        <v>8</v>
      </c>
      <c r="B68" s="103" t="s">
        <v>304</v>
      </c>
      <c r="C68" s="151" t="s">
        <v>305</v>
      </c>
      <c r="D68" s="144" t="s">
        <v>306</v>
      </c>
      <c r="E68" s="138"/>
      <c r="F68" s="139"/>
      <c r="G68" s="139"/>
      <c r="H68" s="139"/>
      <c r="I68" s="123" t="s">
        <v>94</v>
      </c>
      <c r="J68" s="134" t="s">
        <v>284</v>
      </c>
      <c r="K68" s="134" t="s">
        <v>285</v>
      </c>
      <c r="L68" s="109">
        <f>120000/12</f>
        <v>10000</v>
      </c>
      <c r="M68" s="118"/>
      <c r="N68" s="111"/>
      <c r="O68" s="155">
        <f>139600/12</f>
        <v>11633.333333333334</v>
      </c>
      <c r="P68" s="114"/>
      <c r="Q68" s="114"/>
      <c r="R68" s="115">
        <f t="shared" si="16"/>
        <v>1633.3333333333339</v>
      </c>
      <c r="S68" s="116">
        <f t="shared" si="17"/>
        <v>16.333333333333339</v>
      </c>
      <c r="T68" s="117" t="str">
        <f t="shared" si="13"/>
        <v>ไม่ผ่าน</v>
      </c>
      <c r="U68" s="113"/>
    </row>
    <row r="69" spans="1:55" s="93" customFormat="1" x14ac:dyDescent="0.55000000000000004">
      <c r="A69" s="90"/>
      <c r="B69" s="91" t="s">
        <v>307</v>
      </c>
      <c r="C69" s="92"/>
      <c r="E69" s="94"/>
      <c r="F69" s="94"/>
      <c r="G69" s="94"/>
      <c r="H69" s="94"/>
      <c r="I69" s="94"/>
      <c r="J69" s="94"/>
      <c r="K69" s="94"/>
      <c r="L69" s="95">
        <f>SUM(L70:L77)</f>
        <v>5200</v>
      </c>
      <c r="M69" s="96"/>
      <c r="N69" s="97">
        <f>L69/8</f>
        <v>650</v>
      </c>
      <c r="O69" s="95">
        <f>SUM(O70:O77)</f>
        <v>10452.749999999998</v>
      </c>
      <c r="P69" s="96"/>
      <c r="Q69" s="97">
        <f>O69/8</f>
        <v>1306.5937499999998</v>
      </c>
      <c r="R69" s="98"/>
      <c r="S69" s="99"/>
      <c r="T69" s="100">
        <f>COUNTIF(T70:T77,"ผ่าน")</f>
        <v>8</v>
      </c>
      <c r="U69" s="101">
        <f>T69*100/8</f>
        <v>100</v>
      </c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</row>
    <row r="70" spans="1:55" s="67" customFormat="1" ht="46.5" x14ac:dyDescent="0.55000000000000004">
      <c r="A70" s="102">
        <v>1</v>
      </c>
      <c r="B70" s="103" t="s">
        <v>308</v>
      </c>
      <c r="C70" s="151" t="s">
        <v>309</v>
      </c>
      <c r="D70" s="154" t="s">
        <v>310</v>
      </c>
      <c r="E70" s="139"/>
      <c r="F70" s="139"/>
      <c r="G70" s="139"/>
      <c r="H70" s="139"/>
      <c r="I70" s="123" t="s">
        <v>94</v>
      </c>
      <c r="J70" s="156" t="s">
        <v>311</v>
      </c>
      <c r="K70" s="154" t="s">
        <v>312</v>
      </c>
      <c r="L70" s="157">
        <f>9000/12</f>
        <v>750</v>
      </c>
      <c r="M70" s="113"/>
      <c r="N70" s="111"/>
      <c r="O70" s="147">
        <f>18708/12</f>
        <v>1559</v>
      </c>
      <c r="P70" s="113"/>
      <c r="Q70" s="114"/>
      <c r="R70" s="115">
        <f t="shared" ref="R70:R77" si="18">O70-L70</f>
        <v>809</v>
      </c>
      <c r="S70" s="116">
        <f t="shared" ref="S70:S77" si="19">R70/L70*100</f>
        <v>107.86666666666666</v>
      </c>
      <c r="T70" s="117" t="str">
        <f t="shared" si="13"/>
        <v>ผ่าน</v>
      </c>
      <c r="U70" s="113"/>
    </row>
    <row r="71" spans="1:55" s="67" customFormat="1" ht="46.5" x14ac:dyDescent="0.55000000000000004">
      <c r="A71" s="102">
        <v>2</v>
      </c>
      <c r="B71" s="103" t="s">
        <v>313</v>
      </c>
      <c r="C71" s="151" t="s">
        <v>314</v>
      </c>
      <c r="D71" s="154" t="s">
        <v>315</v>
      </c>
      <c r="E71" s="139"/>
      <c r="F71" s="139"/>
      <c r="G71" s="139"/>
      <c r="H71" s="139"/>
      <c r="I71" s="123" t="s">
        <v>94</v>
      </c>
      <c r="J71" s="156" t="s">
        <v>311</v>
      </c>
      <c r="K71" s="154" t="s">
        <v>312</v>
      </c>
      <c r="L71" s="157">
        <f>6000/12</f>
        <v>500</v>
      </c>
      <c r="M71" s="114"/>
      <c r="N71" s="111"/>
      <c r="O71" s="147">
        <f>11352/12</f>
        <v>946</v>
      </c>
      <c r="P71" s="114"/>
      <c r="Q71" s="114"/>
      <c r="R71" s="115">
        <f t="shared" si="18"/>
        <v>446</v>
      </c>
      <c r="S71" s="116">
        <f t="shared" si="19"/>
        <v>89.2</v>
      </c>
      <c r="T71" s="117" t="str">
        <f t="shared" si="13"/>
        <v>ผ่าน</v>
      </c>
      <c r="U71" s="113"/>
    </row>
    <row r="72" spans="1:55" s="67" customFormat="1" ht="46.5" x14ac:dyDescent="0.55000000000000004">
      <c r="A72" s="102">
        <v>3</v>
      </c>
      <c r="B72" s="103" t="s">
        <v>316</v>
      </c>
      <c r="C72" s="151" t="s">
        <v>317</v>
      </c>
      <c r="D72" s="154" t="s">
        <v>318</v>
      </c>
      <c r="E72" s="139"/>
      <c r="F72" s="139"/>
      <c r="G72" s="139"/>
      <c r="H72" s="139"/>
      <c r="I72" s="123" t="s">
        <v>94</v>
      </c>
      <c r="J72" s="156" t="s">
        <v>311</v>
      </c>
      <c r="K72" s="154" t="s">
        <v>312</v>
      </c>
      <c r="L72" s="157">
        <f>7800/12</f>
        <v>650</v>
      </c>
      <c r="M72" s="114"/>
      <c r="N72" s="111"/>
      <c r="O72" s="147">
        <f>15730/12</f>
        <v>1310.8333333333333</v>
      </c>
      <c r="P72" s="114"/>
      <c r="Q72" s="114"/>
      <c r="R72" s="115">
        <f t="shared" si="18"/>
        <v>660.83333333333326</v>
      </c>
      <c r="S72" s="116">
        <f t="shared" si="19"/>
        <v>101.66666666666666</v>
      </c>
      <c r="T72" s="117" t="str">
        <f t="shared" si="13"/>
        <v>ผ่าน</v>
      </c>
      <c r="U72" s="113"/>
    </row>
    <row r="73" spans="1:55" s="67" customFormat="1" ht="46.5" x14ac:dyDescent="0.55000000000000004">
      <c r="A73" s="102">
        <v>4</v>
      </c>
      <c r="B73" s="103" t="s">
        <v>319</v>
      </c>
      <c r="C73" s="151" t="s">
        <v>320</v>
      </c>
      <c r="D73" s="154" t="s">
        <v>321</v>
      </c>
      <c r="E73" s="139"/>
      <c r="F73" s="139"/>
      <c r="G73" s="139"/>
      <c r="H73" s="139"/>
      <c r="I73" s="123" t="s">
        <v>94</v>
      </c>
      <c r="J73" s="156" t="s">
        <v>311</v>
      </c>
      <c r="K73" s="154" t="s">
        <v>312</v>
      </c>
      <c r="L73" s="157">
        <f>8000/12</f>
        <v>666.66666666666663</v>
      </c>
      <c r="M73" s="114"/>
      <c r="N73" s="111"/>
      <c r="O73" s="147">
        <f>12970/12</f>
        <v>1080.8333333333333</v>
      </c>
      <c r="P73" s="114"/>
      <c r="Q73" s="114"/>
      <c r="R73" s="115">
        <f t="shared" si="18"/>
        <v>414.16666666666663</v>
      </c>
      <c r="S73" s="116">
        <f t="shared" si="19"/>
        <v>62.125</v>
      </c>
      <c r="T73" s="117" t="str">
        <f t="shared" si="13"/>
        <v>ผ่าน</v>
      </c>
      <c r="U73" s="113"/>
    </row>
    <row r="74" spans="1:55" s="67" customFormat="1" ht="46.5" x14ac:dyDescent="0.55000000000000004">
      <c r="A74" s="102">
        <v>5</v>
      </c>
      <c r="B74" s="103" t="s">
        <v>322</v>
      </c>
      <c r="C74" s="151" t="s">
        <v>323</v>
      </c>
      <c r="D74" s="154" t="s">
        <v>324</v>
      </c>
      <c r="E74" s="139"/>
      <c r="F74" s="139"/>
      <c r="G74" s="139"/>
      <c r="H74" s="139"/>
      <c r="I74" s="123" t="s">
        <v>94</v>
      </c>
      <c r="J74" s="156" t="s">
        <v>311</v>
      </c>
      <c r="K74" s="154" t="s">
        <v>312</v>
      </c>
      <c r="L74" s="157">
        <f>10000/12</f>
        <v>833.33333333333337</v>
      </c>
      <c r="M74" s="114"/>
      <c r="N74" s="111"/>
      <c r="O74" s="147">
        <f>17680/12</f>
        <v>1473.3333333333333</v>
      </c>
      <c r="P74" s="114"/>
      <c r="Q74" s="114"/>
      <c r="R74" s="115">
        <f t="shared" si="18"/>
        <v>639.99999999999989</v>
      </c>
      <c r="S74" s="116">
        <f t="shared" si="19"/>
        <v>76.799999999999983</v>
      </c>
      <c r="T74" s="117" t="str">
        <f t="shared" si="13"/>
        <v>ผ่าน</v>
      </c>
      <c r="U74" s="113"/>
    </row>
    <row r="75" spans="1:55" s="67" customFormat="1" ht="46.5" x14ac:dyDescent="0.55000000000000004">
      <c r="A75" s="102">
        <v>6</v>
      </c>
      <c r="B75" s="103" t="s">
        <v>325</v>
      </c>
      <c r="C75" s="151" t="s">
        <v>326</v>
      </c>
      <c r="D75" s="154" t="s">
        <v>327</v>
      </c>
      <c r="E75" s="139"/>
      <c r="F75" s="139"/>
      <c r="G75" s="139"/>
      <c r="H75" s="139"/>
      <c r="I75" s="123" t="s">
        <v>94</v>
      </c>
      <c r="J75" s="156" t="s">
        <v>311</v>
      </c>
      <c r="K75" s="154" t="s">
        <v>312</v>
      </c>
      <c r="L75" s="157">
        <f>3000/12</f>
        <v>250</v>
      </c>
      <c r="M75" s="114"/>
      <c r="N75" s="111"/>
      <c r="O75" s="147">
        <f>10503/12</f>
        <v>875.25</v>
      </c>
      <c r="P75" s="114"/>
      <c r="Q75" s="114"/>
      <c r="R75" s="115">
        <f t="shared" si="18"/>
        <v>625.25</v>
      </c>
      <c r="S75" s="116">
        <f t="shared" si="19"/>
        <v>250.1</v>
      </c>
      <c r="T75" s="117" t="str">
        <f t="shared" si="13"/>
        <v>ผ่าน</v>
      </c>
      <c r="U75" s="113"/>
    </row>
    <row r="76" spans="1:55" s="67" customFormat="1" ht="46.5" x14ac:dyDescent="0.55000000000000004">
      <c r="A76" s="102">
        <v>7</v>
      </c>
      <c r="B76" s="103" t="s">
        <v>328</v>
      </c>
      <c r="C76" s="151" t="s">
        <v>329</v>
      </c>
      <c r="D76" s="154" t="s">
        <v>330</v>
      </c>
      <c r="E76" s="139"/>
      <c r="F76" s="139"/>
      <c r="G76" s="139"/>
      <c r="H76" s="139"/>
      <c r="I76" s="123" t="s">
        <v>94</v>
      </c>
      <c r="J76" s="156" t="s">
        <v>311</v>
      </c>
      <c r="K76" s="154" t="s">
        <v>312</v>
      </c>
      <c r="L76" s="157">
        <f>10000/12</f>
        <v>833.33333333333337</v>
      </c>
      <c r="M76" s="114"/>
      <c r="N76" s="111"/>
      <c r="O76" s="147">
        <f>20380/12</f>
        <v>1698.3333333333333</v>
      </c>
      <c r="P76" s="114"/>
      <c r="Q76" s="114"/>
      <c r="R76" s="115">
        <f t="shared" si="18"/>
        <v>864.99999999999989</v>
      </c>
      <c r="S76" s="116">
        <f t="shared" si="19"/>
        <v>103.79999999999998</v>
      </c>
      <c r="T76" s="117" t="str">
        <f t="shared" si="13"/>
        <v>ผ่าน</v>
      </c>
      <c r="U76" s="113"/>
    </row>
    <row r="77" spans="1:55" s="67" customFormat="1" ht="46.5" x14ac:dyDescent="0.55000000000000004">
      <c r="A77" s="102">
        <v>8</v>
      </c>
      <c r="B77" s="103" t="s">
        <v>331</v>
      </c>
      <c r="C77" s="151" t="s">
        <v>332</v>
      </c>
      <c r="D77" s="154" t="s">
        <v>333</v>
      </c>
      <c r="E77" s="139"/>
      <c r="F77" s="139"/>
      <c r="G77" s="139"/>
      <c r="H77" s="139"/>
      <c r="I77" s="123" t="s">
        <v>94</v>
      </c>
      <c r="J77" s="156" t="s">
        <v>311</v>
      </c>
      <c r="K77" s="154" t="s">
        <v>312</v>
      </c>
      <c r="L77" s="157">
        <f>8600/12</f>
        <v>716.66666666666663</v>
      </c>
      <c r="M77" s="114"/>
      <c r="N77" s="111"/>
      <c r="O77" s="147">
        <f>18110/12</f>
        <v>1509.1666666666667</v>
      </c>
      <c r="P77" s="114"/>
      <c r="Q77" s="114"/>
      <c r="R77" s="115">
        <f t="shared" si="18"/>
        <v>792.50000000000011</v>
      </c>
      <c r="S77" s="116">
        <f t="shared" si="19"/>
        <v>110.58139534883725</v>
      </c>
      <c r="T77" s="117" t="str">
        <f t="shared" si="13"/>
        <v>ผ่าน</v>
      </c>
      <c r="U77" s="113"/>
    </row>
    <row r="78" spans="1:55" s="93" customFormat="1" x14ac:dyDescent="0.55000000000000004">
      <c r="A78" s="90"/>
      <c r="B78" s="91" t="s">
        <v>334</v>
      </c>
      <c r="C78" s="92"/>
      <c r="E78" s="94"/>
      <c r="F78" s="94"/>
      <c r="G78" s="94"/>
      <c r="H78" s="94"/>
      <c r="I78" s="94"/>
      <c r="J78" s="94"/>
      <c r="K78" s="94"/>
      <c r="L78" s="95">
        <f>SUM(L79:L86)</f>
        <v>32250</v>
      </c>
      <c r="M78" s="96"/>
      <c r="N78" s="97">
        <f>L78/8</f>
        <v>4031.25</v>
      </c>
      <c r="O78" s="95">
        <f>SUM(O79:O86)</f>
        <v>48919.166666666664</v>
      </c>
      <c r="P78" s="96"/>
      <c r="Q78" s="97">
        <f>O78/8</f>
        <v>6114.895833333333</v>
      </c>
      <c r="R78" s="98"/>
      <c r="S78" s="99"/>
      <c r="T78" s="100">
        <f>COUNTIF(T79:T86,"ผ่าน")</f>
        <v>5</v>
      </c>
      <c r="U78" s="101">
        <f>T78*100/8</f>
        <v>62.5</v>
      </c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</row>
    <row r="79" spans="1:55" s="67" customFormat="1" ht="48" x14ac:dyDescent="0.55000000000000004">
      <c r="A79" s="102">
        <v>1</v>
      </c>
      <c r="B79" s="158" t="s">
        <v>132</v>
      </c>
      <c r="C79" s="159" t="s">
        <v>335</v>
      </c>
      <c r="D79" s="144" t="s">
        <v>336</v>
      </c>
      <c r="E79" s="139"/>
      <c r="F79" s="139"/>
      <c r="G79" s="139"/>
      <c r="H79" s="139"/>
      <c r="I79" s="123" t="s">
        <v>94</v>
      </c>
      <c r="J79" s="160" t="s">
        <v>337</v>
      </c>
      <c r="K79" s="161" t="s">
        <v>338</v>
      </c>
      <c r="L79" s="162">
        <f>72000/12</f>
        <v>6000</v>
      </c>
      <c r="M79" s="163"/>
      <c r="N79" s="164"/>
      <c r="O79" s="165">
        <f>132000/12</f>
        <v>11000</v>
      </c>
      <c r="P79" s="110"/>
      <c r="Q79" s="114"/>
      <c r="R79" s="115">
        <f t="shared" ref="R79:R86" si="20">O79-L79</f>
        <v>5000</v>
      </c>
      <c r="S79" s="116">
        <f t="shared" ref="S79:S85" si="21">R79/L79*100</f>
        <v>83.333333333333343</v>
      </c>
      <c r="T79" s="117" t="str">
        <f t="shared" ref="T79:T95" si="22">IF(S79&gt;=40,"ผ่าน","ไม่ผ่าน")</f>
        <v>ผ่าน</v>
      </c>
      <c r="U79" s="113"/>
    </row>
    <row r="80" spans="1:55" s="67" customFormat="1" ht="46.5" x14ac:dyDescent="0.55000000000000004">
      <c r="A80" s="102">
        <v>2</v>
      </c>
      <c r="B80" s="158" t="s">
        <v>339</v>
      </c>
      <c r="C80" s="159" t="s">
        <v>340</v>
      </c>
      <c r="D80" s="154" t="s">
        <v>341</v>
      </c>
      <c r="E80" s="139"/>
      <c r="F80" s="139"/>
      <c r="G80" s="139"/>
      <c r="H80" s="139"/>
      <c r="I80" s="123" t="s">
        <v>94</v>
      </c>
      <c r="J80" s="160" t="s">
        <v>337</v>
      </c>
      <c r="K80" s="161" t="s">
        <v>338</v>
      </c>
      <c r="L80" s="162">
        <f>36000/12</f>
        <v>3000</v>
      </c>
      <c r="M80" s="166"/>
      <c r="N80" s="164"/>
      <c r="O80" s="165">
        <f>66000/12</f>
        <v>5500</v>
      </c>
      <c r="P80" s="118"/>
      <c r="Q80" s="114"/>
      <c r="R80" s="115">
        <f t="shared" si="20"/>
        <v>2500</v>
      </c>
      <c r="S80" s="116">
        <f t="shared" si="21"/>
        <v>83.333333333333343</v>
      </c>
      <c r="T80" s="117" t="str">
        <f t="shared" si="22"/>
        <v>ผ่าน</v>
      </c>
      <c r="U80" s="113"/>
    </row>
    <row r="81" spans="1:55" s="67" customFormat="1" ht="48" x14ac:dyDescent="0.55000000000000004">
      <c r="A81" s="102">
        <v>3</v>
      </c>
      <c r="B81" s="158" t="s">
        <v>342</v>
      </c>
      <c r="C81" s="159" t="s">
        <v>343</v>
      </c>
      <c r="D81" s="144" t="s">
        <v>344</v>
      </c>
      <c r="E81" s="139"/>
      <c r="F81" s="139"/>
      <c r="G81" s="139"/>
      <c r="H81" s="139"/>
      <c r="I81" s="123" t="s">
        <v>94</v>
      </c>
      <c r="J81" s="160" t="s">
        <v>337</v>
      </c>
      <c r="K81" s="161" t="s">
        <v>338</v>
      </c>
      <c r="L81" s="162">
        <f>75000/12</f>
        <v>6250</v>
      </c>
      <c r="M81" s="166"/>
      <c r="N81" s="164"/>
      <c r="O81" s="165">
        <f>110000/12</f>
        <v>9166.6666666666661</v>
      </c>
      <c r="P81" s="118"/>
      <c r="Q81" s="114"/>
      <c r="R81" s="115">
        <f t="shared" si="20"/>
        <v>2916.6666666666661</v>
      </c>
      <c r="S81" s="116">
        <f t="shared" si="21"/>
        <v>46.666666666666657</v>
      </c>
      <c r="T81" s="117" t="str">
        <f t="shared" si="22"/>
        <v>ผ่าน</v>
      </c>
      <c r="U81" s="113"/>
    </row>
    <row r="82" spans="1:55" s="67" customFormat="1" ht="48" x14ac:dyDescent="0.55000000000000004">
      <c r="A82" s="102">
        <v>4</v>
      </c>
      <c r="B82" s="158" t="s">
        <v>345</v>
      </c>
      <c r="C82" s="159" t="s">
        <v>346</v>
      </c>
      <c r="D82" s="144" t="s">
        <v>347</v>
      </c>
      <c r="E82" s="139"/>
      <c r="F82" s="139"/>
      <c r="G82" s="139"/>
      <c r="H82" s="139"/>
      <c r="I82" s="123" t="s">
        <v>94</v>
      </c>
      <c r="J82" s="160" t="s">
        <v>337</v>
      </c>
      <c r="K82" s="161" t="s">
        <v>338</v>
      </c>
      <c r="L82" s="162">
        <v>0</v>
      </c>
      <c r="M82" s="166"/>
      <c r="N82" s="164"/>
      <c r="O82" s="167">
        <v>0</v>
      </c>
      <c r="P82" s="118"/>
      <c r="Q82" s="114"/>
      <c r="R82" s="115">
        <f t="shared" si="20"/>
        <v>0</v>
      </c>
      <c r="S82" s="116"/>
      <c r="T82" s="117" t="str">
        <f t="shared" si="22"/>
        <v>ไม่ผ่าน</v>
      </c>
      <c r="U82" s="113"/>
    </row>
    <row r="83" spans="1:55" s="67" customFormat="1" ht="69.75" x14ac:dyDescent="0.55000000000000004">
      <c r="A83" s="102">
        <v>5</v>
      </c>
      <c r="B83" s="158" t="s">
        <v>348</v>
      </c>
      <c r="C83" s="159" t="s">
        <v>349</v>
      </c>
      <c r="D83" s="154" t="s">
        <v>350</v>
      </c>
      <c r="E83" s="139"/>
      <c r="F83" s="139"/>
      <c r="G83" s="139"/>
      <c r="H83" s="139"/>
      <c r="I83" s="123" t="s">
        <v>94</v>
      </c>
      <c r="J83" s="160" t="s">
        <v>351</v>
      </c>
      <c r="K83" s="161" t="s">
        <v>338</v>
      </c>
      <c r="L83" s="162">
        <f>36000/12</f>
        <v>3000</v>
      </c>
      <c r="M83" s="166"/>
      <c r="N83" s="164"/>
      <c r="O83" s="165">
        <f>36000/12</f>
        <v>3000</v>
      </c>
      <c r="P83" s="118"/>
      <c r="Q83" s="114"/>
      <c r="R83" s="115">
        <f t="shared" si="20"/>
        <v>0</v>
      </c>
      <c r="S83" s="116">
        <f t="shared" si="21"/>
        <v>0</v>
      </c>
      <c r="T83" s="117" t="str">
        <f t="shared" si="22"/>
        <v>ไม่ผ่าน</v>
      </c>
      <c r="U83" s="113"/>
    </row>
    <row r="84" spans="1:55" s="67" customFormat="1" ht="46.5" x14ac:dyDescent="0.55000000000000004">
      <c r="A84" s="102">
        <v>6</v>
      </c>
      <c r="B84" s="158" t="s">
        <v>352</v>
      </c>
      <c r="C84" s="159" t="s">
        <v>353</v>
      </c>
      <c r="D84" s="154" t="s">
        <v>354</v>
      </c>
      <c r="E84" s="139"/>
      <c r="F84" s="139"/>
      <c r="G84" s="139"/>
      <c r="H84" s="139"/>
      <c r="I84" s="123" t="s">
        <v>94</v>
      </c>
      <c r="J84" s="168" t="s">
        <v>355</v>
      </c>
      <c r="K84" s="161" t="s">
        <v>338</v>
      </c>
      <c r="L84" s="162">
        <f>60000/12</f>
        <v>5000</v>
      </c>
      <c r="M84" s="166"/>
      <c r="N84" s="164"/>
      <c r="O84" s="165">
        <f>84090/12</f>
        <v>7007.5</v>
      </c>
      <c r="P84" s="118"/>
      <c r="Q84" s="114"/>
      <c r="R84" s="115">
        <f t="shared" si="20"/>
        <v>2007.5</v>
      </c>
      <c r="S84" s="116">
        <f t="shared" si="21"/>
        <v>40.150000000000006</v>
      </c>
      <c r="T84" s="117" t="str">
        <f t="shared" si="22"/>
        <v>ผ่าน</v>
      </c>
      <c r="U84" s="113"/>
    </row>
    <row r="85" spans="1:55" s="67" customFormat="1" ht="46.5" x14ac:dyDescent="0.55000000000000004">
      <c r="A85" s="102">
        <v>7</v>
      </c>
      <c r="B85" s="158" t="s">
        <v>356</v>
      </c>
      <c r="C85" s="159" t="s">
        <v>357</v>
      </c>
      <c r="D85" s="154" t="s">
        <v>358</v>
      </c>
      <c r="E85" s="139"/>
      <c r="F85" s="139"/>
      <c r="G85" s="139"/>
      <c r="H85" s="139"/>
      <c r="I85" s="107" t="s">
        <v>94</v>
      </c>
      <c r="J85" s="105" t="s">
        <v>359</v>
      </c>
      <c r="K85" s="161" t="s">
        <v>338</v>
      </c>
      <c r="L85" s="162">
        <f>108000/12</f>
        <v>9000</v>
      </c>
      <c r="M85" s="166"/>
      <c r="N85" s="164"/>
      <c r="O85" s="165">
        <f>158940/12</f>
        <v>13245</v>
      </c>
      <c r="P85" s="118"/>
      <c r="Q85" s="114"/>
      <c r="R85" s="115">
        <f t="shared" si="20"/>
        <v>4245</v>
      </c>
      <c r="S85" s="116">
        <f t="shared" si="21"/>
        <v>47.166666666666671</v>
      </c>
      <c r="T85" s="117" t="str">
        <f t="shared" si="22"/>
        <v>ผ่าน</v>
      </c>
      <c r="U85" s="113"/>
    </row>
    <row r="86" spans="1:55" s="67" customFormat="1" ht="46.5" x14ac:dyDescent="0.55000000000000004">
      <c r="A86" s="102">
        <v>8</v>
      </c>
      <c r="B86" s="158" t="s">
        <v>360</v>
      </c>
      <c r="C86" s="159" t="s">
        <v>361</v>
      </c>
      <c r="D86" s="169" t="s">
        <v>362</v>
      </c>
      <c r="E86" s="139"/>
      <c r="F86" s="139"/>
      <c r="G86" s="139"/>
      <c r="H86" s="139"/>
      <c r="I86" s="107" t="s">
        <v>94</v>
      </c>
      <c r="J86" s="105" t="s">
        <v>359</v>
      </c>
      <c r="K86" s="161" t="s">
        <v>338</v>
      </c>
      <c r="L86" s="162">
        <v>0</v>
      </c>
      <c r="M86" s="166"/>
      <c r="N86" s="164"/>
      <c r="O86" s="165">
        <v>0</v>
      </c>
      <c r="P86" s="118"/>
      <c r="Q86" s="114"/>
      <c r="R86" s="115">
        <f t="shared" si="20"/>
        <v>0</v>
      </c>
      <c r="S86" s="116"/>
      <c r="T86" s="117" t="str">
        <f t="shared" si="22"/>
        <v>ไม่ผ่าน</v>
      </c>
      <c r="U86" s="113"/>
    </row>
    <row r="87" spans="1:55" s="93" customFormat="1" x14ac:dyDescent="0.55000000000000004">
      <c r="A87" s="90"/>
      <c r="B87" s="91" t="s">
        <v>363</v>
      </c>
      <c r="C87" s="92"/>
      <c r="E87" s="94"/>
      <c r="F87" s="94"/>
      <c r="G87" s="94"/>
      <c r="H87" s="94"/>
      <c r="I87" s="94"/>
      <c r="J87" s="94"/>
      <c r="K87" s="94"/>
      <c r="L87" s="95">
        <f>SUM(L88:L95)</f>
        <v>38583.333333333336</v>
      </c>
      <c r="M87" s="96"/>
      <c r="N87" s="97">
        <f>L87/8</f>
        <v>4822.916666666667</v>
      </c>
      <c r="O87" s="95">
        <f>SUM(O88:O95)</f>
        <v>69571.416666666672</v>
      </c>
      <c r="P87" s="96"/>
      <c r="Q87" s="97">
        <f>O87/8</f>
        <v>8696.4270833333339</v>
      </c>
      <c r="R87" s="98"/>
      <c r="S87" s="99"/>
      <c r="T87" s="100">
        <f>COUNTIF(T88:T95,"ผ่าน")</f>
        <v>8</v>
      </c>
      <c r="U87" s="101">
        <f>T87*100/8</f>
        <v>100</v>
      </c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</row>
    <row r="88" spans="1:55" s="67" customFormat="1" ht="48" x14ac:dyDescent="0.55000000000000004">
      <c r="A88" s="102">
        <v>1</v>
      </c>
      <c r="B88" s="170" t="s">
        <v>364</v>
      </c>
      <c r="C88" s="171" t="s">
        <v>365</v>
      </c>
      <c r="D88" s="144" t="s">
        <v>366</v>
      </c>
      <c r="E88" s="139"/>
      <c r="F88" s="139"/>
      <c r="G88" s="139"/>
      <c r="H88" s="139"/>
      <c r="I88" s="123" t="s">
        <v>94</v>
      </c>
      <c r="J88" s="144" t="s">
        <v>367</v>
      </c>
      <c r="K88" s="144" t="s">
        <v>368</v>
      </c>
      <c r="L88" s="162">
        <f>5000/12</f>
        <v>416.66666666666669</v>
      </c>
      <c r="M88" s="113"/>
      <c r="N88" s="111"/>
      <c r="O88" s="112">
        <f>57620/12</f>
        <v>4801.666666666667</v>
      </c>
      <c r="P88" s="113"/>
      <c r="Q88" s="114"/>
      <c r="R88" s="115">
        <f t="shared" ref="R88:R95" si="23">O88-L88</f>
        <v>4385</v>
      </c>
      <c r="S88" s="116">
        <f t="shared" ref="S88:S95" si="24">R88/L88*100</f>
        <v>1052.3999999999999</v>
      </c>
      <c r="T88" s="117" t="str">
        <f t="shared" si="22"/>
        <v>ผ่าน</v>
      </c>
      <c r="U88" s="113"/>
    </row>
    <row r="89" spans="1:55" s="67" customFormat="1" ht="72" x14ac:dyDescent="0.55000000000000004">
      <c r="A89" s="102">
        <v>2</v>
      </c>
      <c r="B89" s="170" t="s">
        <v>369</v>
      </c>
      <c r="C89" s="171" t="s">
        <v>370</v>
      </c>
      <c r="D89" s="144" t="s">
        <v>371</v>
      </c>
      <c r="E89" s="139"/>
      <c r="F89" s="139"/>
      <c r="G89" s="139"/>
      <c r="H89" s="139"/>
      <c r="I89" s="123" t="s">
        <v>94</v>
      </c>
      <c r="J89" s="144" t="s">
        <v>372</v>
      </c>
      <c r="K89" s="172" t="s">
        <v>373</v>
      </c>
      <c r="L89" s="162">
        <f>50000/12</f>
        <v>4166.666666666667</v>
      </c>
      <c r="M89" s="114"/>
      <c r="N89" s="111"/>
      <c r="O89" s="112">
        <f>78650/12</f>
        <v>6554.166666666667</v>
      </c>
      <c r="P89" s="114"/>
      <c r="Q89" s="114"/>
      <c r="R89" s="115">
        <f t="shared" si="23"/>
        <v>2387.5</v>
      </c>
      <c r="S89" s="116">
        <f t="shared" si="24"/>
        <v>57.3</v>
      </c>
      <c r="T89" s="117" t="str">
        <f t="shared" si="22"/>
        <v>ผ่าน</v>
      </c>
      <c r="U89" s="113"/>
    </row>
    <row r="90" spans="1:55" s="67" customFormat="1" ht="72" x14ac:dyDescent="0.55000000000000004">
      <c r="A90" s="102">
        <v>3</v>
      </c>
      <c r="B90" s="170" t="s">
        <v>374</v>
      </c>
      <c r="C90" s="171" t="s">
        <v>375</v>
      </c>
      <c r="D90" s="144" t="s">
        <v>376</v>
      </c>
      <c r="E90" s="139"/>
      <c r="F90" s="139"/>
      <c r="G90" s="139"/>
      <c r="H90" s="139"/>
      <c r="I90" s="123" t="s">
        <v>94</v>
      </c>
      <c r="J90" s="144" t="s">
        <v>372</v>
      </c>
      <c r="K90" s="172" t="s">
        <v>373</v>
      </c>
      <c r="L90" s="162">
        <f>12000/12</f>
        <v>1000</v>
      </c>
      <c r="M90" s="114"/>
      <c r="N90" s="111"/>
      <c r="O90" s="112">
        <f>29090/12</f>
        <v>2424.1666666666665</v>
      </c>
      <c r="P90" s="114"/>
      <c r="Q90" s="114"/>
      <c r="R90" s="115">
        <f t="shared" si="23"/>
        <v>1424.1666666666665</v>
      </c>
      <c r="S90" s="116">
        <f t="shared" si="24"/>
        <v>142.41666666666666</v>
      </c>
      <c r="T90" s="117" t="str">
        <f t="shared" si="22"/>
        <v>ผ่าน</v>
      </c>
      <c r="U90" s="113"/>
    </row>
    <row r="91" spans="1:55" s="67" customFormat="1" ht="72" x14ac:dyDescent="0.55000000000000004">
      <c r="A91" s="102">
        <v>4</v>
      </c>
      <c r="B91" s="170" t="s">
        <v>377</v>
      </c>
      <c r="C91" s="171" t="s">
        <v>378</v>
      </c>
      <c r="D91" s="144" t="s">
        <v>379</v>
      </c>
      <c r="E91" s="139"/>
      <c r="F91" s="139"/>
      <c r="G91" s="139"/>
      <c r="H91" s="139"/>
      <c r="I91" s="123" t="s">
        <v>94</v>
      </c>
      <c r="J91" s="144" t="s">
        <v>380</v>
      </c>
      <c r="K91" s="172" t="s">
        <v>381</v>
      </c>
      <c r="L91" s="162">
        <f>84000/12</f>
        <v>7000</v>
      </c>
      <c r="M91" s="114"/>
      <c r="N91" s="111"/>
      <c r="O91" s="112">
        <f>225800/12</f>
        <v>18816.666666666668</v>
      </c>
      <c r="P91" s="114"/>
      <c r="Q91" s="114"/>
      <c r="R91" s="115">
        <f t="shared" si="23"/>
        <v>11816.666666666668</v>
      </c>
      <c r="S91" s="116">
        <f t="shared" si="24"/>
        <v>168.80952380952382</v>
      </c>
      <c r="T91" s="117" t="str">
        <f t="shared" si="22"/>
        <v>ผ่าน</v>
      </c>
      <c r="U91" s="113"/>
    </row>
    <row r="92" spans="1:55" s="67" customFormat="1" ht="72" x14ac:dyDescent="0.55000000000000004">
      <c r="A92" s="102">
        <v>5</v>
      </c>
      <c r="B92" s="170" t="s">
        <v>382</v>
      </c>
      <c r="C92" s="171" t="s">
        <v>383</v>
      </c>
      <c r="D92" s="144" t="s">
        <v>384</v>
      </c>
      <c r="E92" s="139"/>
      <c r="F92" s="139"/>
      <c r="G92" s="139"/>
      <c r="H92" s="139"/>
      <c r="I92" s="123" t="s">
        <v>94</v>
      </c>
      <c r="J92" s="144" t="s">
        <v>385</v>
      </c>
      <c r="K92" s="172" t="s">
        <v>373</v>
      </c>
      <c r="L92" s="162">
        <f>60000/12</f>
        <v>5000</v>
      </c>
      <c r="M92" s="114"/>
      <c r="N92" s="111"/>
      <c r="O92" s="112">
        <f>84476/12</f>
        <v>7039.666666666667</v>
      </c>
      <c r="P92" s="114"/>
      <c r="Q92" s="114"/>
      <c r="R92" s="115">
        <f t="shared" si="23"/>
        <v>2039.666666666667</v>
      </c>
      <c r="S92" s="116">
        <f t="shared" si="24"/>
        <v>40.793333333333337</v>
      </c>
      <c r="T92" s="117" t="str">
        <f t="shared" si="22"/>
        <v>ผ่าน</v>
      </c>
      <c r="U92" s="113"/>
    </row>
    <row r="93" spans="1:55" s="67" customFormat="1" ht="72" x14ac:dyDescent="0.55000000000000004">
      <c r="A93" s="102">
        <v>6</v>
      </c>
      <c r="B93" s="170" t="s">
        <v>386</v>
      </c>
      <c r="C93" s="171" t="s">
        <v>387</v>
      </c>
      <c r="D93" s="144" t="s">
        <v>388</v>
      </c>
      <c r="E93" s="139"/>
      <c r="F93" s="139"/>
      <c r="G93" s="139"/>
      <c r="H93" s="139"/>
      <c r="I93" s="123" t="s">
        <v>94</v>
      </c>
      <c r="J93" s="144" t="s">
        <v>385</v>
      </c>
      <c r="K93" s="172" t="s">
        <v>231</v>
      </c>
      <c r="L93" s="162">
        <f>60000/12</f>
        <v>5000</v>
      </c>
      <c r="M93" s="114"/>
      <c r="N93" s="111"/>
      <c r="O93" s="112">
        <f>85125/12</f>
        <v>7093.75</v>
      </c>
      <c r="P93" s="114"/>
      <c r="Q93" s="114"/>
      <c r="R93" s="115">
        <f t="shared" si="23"/>
        <v>2093.75</v>
      </c>
      <c r="S93" s="116">
        <f t="shared" si="24"/>
        <v>41.875</v>
      </c>
      <c r="T93" s="117" t="str">
        <f t="shared" si="22"/>
        <v>ผ่าน</v>
      </c>
      <c r="U93" s="113"/>
    </row>
    <row r="94" spans="1:55" s="67" customFormat="1" ht="72" x14ac:dyDescent="0.55000000000000004">
      <c r="A94" s="102">
        <v>7</v>
      </c>
      <c r="B94" s="170" t="s">
        <v>389</v>
      </c>
      <c r="C94" s="171" t="s">
        <v>390</v>
      </c>
      <c r="D94" s="144" t="s">
        <v>391</v>
      </c>
      <c r="E94" s="139"/>
      <c r="F94" s="139"/>
      <c r="G94" s="139"/>
      <c r="H94" s="139"/>
      <c r="I94" s="123" t="s">
        <v>94</v>
      </c>
      <c r="J94" s="144" t="s">
        <v>392</v>
      </c>
      <c r="K94" s="172" t="s">
        <v>393</v>
      </c>
      <c r="L94" s="162">
        <f>96000/12</f>
        <v>8000</v>
      </c>
      <c r="M94" s="114"/>
      <c r="N94" s="111"/>
      <c r="O94" s="112">
        <f>138850/12</f>
        <v>11570.833333333334</v>
      </c>
      <c r="P94" s="114"/>
      <c r="Q94" s="114"/>
      <c r="R94" s="115">
        <f t="shared" si="23"/>
        <v>3570.8333333333339</v>
      </c>
      <c r="S94" s="116">
        <f t="shared" si="24"/>
        <v>44.635416666666671</v>
      </c>
      <c r="T94" s="117" t="str">
        <f t="shared" si="22"/>
        <v>ผ่าน</v>
      </c>
      <c r="U94" s="113"/>
    </row>
    <row r="95" spans="1:55" s="67" customFormat="1" ht="72" x14ac:dyDescent="0.55000000000000004">
      <c r="A95" s="102">
        <v>8</v>
      </c>
      <c r="B95" s="170" t="s">
        <v>394</v>
      </c>
      <c r="C95" s="171" t="s">
        <v>395</v>
      </c>
      <c r="D95" s="144" t="s">
        <v>396</v>
      </c>
      <c r="E95" s="139"/>
      <c r="F95" s="139"/>
      <c r="G95" s="139"/>
      <c r="H95" s="139"/>
      <c r="I95" s="123" t="s">
        <v>94</v>
      </c>
      <c r="J95" s="144" t="s">
        <v>397</v>
      </c>
      <c r="K95" s="172" t="s">
        <v>393</v>
      </c>
      <c r="L95" s="162">
        <f>96000/12</f>
        <v>8000</v>
      </c>
      <c r="M95" s="114"/>
      <c r="N95" s="111"/>
      <c r="O95" s="112">
        <f>135246/12</f>
        <v>11270.5</v>
      </c>
      <c r="P95" s="114"/>
      <c r="Q95" s="114"/>
      <c r="R95" s="115">
        <f t="shared" si="23"/>
        <v>3270.5</v>
      </c>
      <c r="S95" s="116">
        <f t="shared" si="24"/>
        <v>40.881250000000001</v>
      </c>
      <c r="T95" s="117" t="str">
        <f t="shared" si="22"/>
        <v>ผ่าน</v>
      </c>
      <c r="U95" s="113"/>
    </row>
    <row r="96" spans="1:55" s="93" customFormat="1" x14ac:dyDescent="0.55000000000000004">
      <c r="A96" s="90"/>
      <c r="B96" s="91" t="s">
        <v>398</v>
      </c>
      <c r="C96" s="92"/>
      <c r="D96" s="173"/>
      <c r="E96" s="94"/>
      <c r="F96" s="94"/>
      <c r="G96" s="94"/>
      <c r="H96" s="94"/>
      <c r="I96" s="94"/>
      <c r="J96" s="94"/>
      <c r="K96" s="94"/>
      <c r="L96" s="95">
        <f>SUM(L97:L104)</f>
        <v>49500</v>
      </c>
      <c r="M96" s="96"/>
      <c r="N96" s="97">
        <f>L96/8</f>
        <v>6187.5</v>
      </c>
      <c r="O96" s="95">
        <f>SUM(O97:O104)</f>
        <v>88399.999999999985</v>
      </c>
      <c r="P96" s="96"/>
      <c r="Q96" s="97">
        <f>O96/8</f>
        <v>11049.999999999998</v>
      </c>
      <c r="R96" s="98"/>
      <c r="S96" s="99"/>
      <c r="T96" s="100">
        <f>COUNTIF(T97:T104,"ผ่าน")</f>
        <v>8</v>
      </c>
      <c r="U96" s="101">
        <f>T96*100/8</f>
        <v>100</v>
      </c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</row>
    <row r="97" spans="1:55" s="67" customFormat="1" ht="48" x14ac:dyDescent="0.55000000000000004">
      <c r="A97" s="102">
        <v>1</v>
      </c>
      <c r="B97" s="174" t="s">
        <v>399</v>
      </c>
      <c r="C97" s="175" t="s">
        <v>400</v>
      </c>
      <c r="D97" s="144" t="s">
        <v>401</v>
      </c>
      <c r="E97" s="176"/>
      <c r="F97" s="177"/>
      <c r="G97" s="177"/>
      <c r="H97" s="177"/>
      <c r="I97" s="123" t="s">
        <v>94</v>
      </c>
      <c r="J97" s="156" t="s">
        <v>402</v>
      </c>
      <c r="K97" s="154" t="s">
        <v>403</v>
      </c>
      <c r="L97" s="162">
        <f>84000/12</f>
        <v>7000</v>
      </c>
      <c r="M97" s="113"/>
      <c r="N97" s="111"/>
      <c r="O97" s="165">
        <f>140500/12</f>
        <v>11708.333333333334</v>
      </c>
      <c r="P97" s="113"/>
      <c r="Q97" s="114"/>
      <c r="R97" s="115">
        <f t="shared" ref="R97:R104" si="25">O97-L97</f>
        <v>4708.3333333333339</v>
      </c>
      <c r="S97" s="116">
        <f t="shared" ref="S97:S104" si="26">R97/L97*100</f>
        <v>67.261904761904773</v>
      </c>
      <c r="T97" s="117" t="str">
        <f t="shared" ref="T97:T113" si="27">IF(S97&gt;=40,"ผ่าน","ไม่ผ่าน")</f>
        <v>ผ่าน</v>
      </c>
      <c r="U97" s="113"/>
    </row>
    <row r="98" spans="1:55" s="67" customFormat="1" ht="46.5" x14ac:dyDescent="0.55000000000000004">
      <c r="A98" s="102">
        <v>2</v>
      </c>
      <c r="B98" s="174" t="s">
        <v>404</v>
      </c>
      <c r="C98" s="175" t="s">
        <v>405</v>
      </c>
      <c r="D98" s="148" t="s">
        <v>406</v>
      </c>
      <c r="E98" s="177"/>
      <c r="F98" s="177"/>
      <c r="G98" s="177"/>
      <c r="H98" s="177"/>
      <c r="I98" s="123" t="s">
        <v>94</v>
      </c>
      <c r="J98" s="156" t="s">
        <v>402</v>
      </c>
      <c r="K98" s="154" t="s">
        <v>407</v>
      </c>
      <c r="L98" s="162">
        <f>72000/12</f>
        <v>6000</v>
      </c>
      <c r="M98" s="113"/>
      <c r="N98" s="111"/>
      <c r="O98" s="165">
        <f>121500/12</f>
        <v>10125</v>
      </c>
      <c r="P98" s="113"/>
      <c r="Q98" s="114"/>
      <c r="R98" s="115">
        <f t="shared" si="25"/>
        <v>4125</v>
      </c>
      <c r="S98" s="116">
        <f t="shared" si="26"/>
        <v>68.75</v>
      </c>
      <c r="T98" s="117" t="str">
        <f t="shared" si="27"/>
        <v>ผ่าน</v>
      </c>
      <c r="U98" s="113"/>
    </row>
    <row r="99" spans="1:55" s="67" customFormat="1" ht="46.5" x14ac:dyDescent="0.55000000000000004">
      <c r="A99" s="102">
        <v>3</v>
      </c>
      <c r="B99" s="174" t="s">
        <v>408</v>
      </c>
      <c r="C99" s="175" t="s">
        <v>409</v>
      </c>
      <c r="D99" s="148" t="s">
        <v>410</v>
      </c>
      <c r="E99" s="177"/>
      <c r="F99" s="177"/>
      <c r="G99" s="177"/>
      <c r="H99" s="177"/>
      <c r="I99" s="123" t="s">
        <v>94</v>
      </c>
      <c r="J99" s="156" t="s">
        <v>402</v>
      </c>
      <c r="K99" s="154" t="s">
        <v>407</v>
      </c>
      <c r="L99" s="162">
        <f>96000/12</f>
        <v>8000</v>
      </c>
      <c r="M99" s="113"/>
      <c r="N99" s="111"/>
      <c r="O99" s="165">
        <f>164700/12</f>
        <v>13725</v>
      </c>
      <c r="P99" s="113"/>
      <c r="Q99" s="114"/>
      <c r="R99" s="115">
        <f t="shared" si="25"/>
        <v>5725</v>
      </c>
      <c r="S99" s="116">
        <f t="shared" si="26"/>
        <v>71.5625</v>
      </c>
      <c r="T99" s="117" t="str">
        <f t="shared" si="27"/>
        <v>ผ่าน</v>
      </c>
      <c r="U99" s="113"/>
    </row>
    <row r="100" spans="1:55" s="67" customFormat="1" ht="46.5" x14ac:dyDescent="0.55000000000000004">
      <c r="A100" s="102">
        <v>4</v>
      </c>
      <c r="B100" s="174" t="s">
        <v>411</v>
      </c>
      <c r="C100" s="175" t="s">
        <v>412</v>
      </c>
      <c r="D100" s="178" t="s">
        <v>413</v>
      </c>
      <c r="E100" s="177"/>
      <c r="F100" s="177"/>
      <c r="G100" s="177"/>
      <c r="H100" s="177"/>
      <c r="I100" s="123" t="s">
        <v>94</v>
      </c>
      <c r="J100" s="156" t="s">
        <v>402</v>
      </c>
      <c r="K100" s="154" t="s">
        <v>231</v>
      </c>
      <c r="L100" s="162">
        <f>24000/12</f>
        <v>2000</v>
      </c>
      <c r="M100" s="113"/>
      <c r="N100" s="111"/>
      <c r="O100" s="165">
        <f>70100/12</f>
        <v>5841.666666666667</v>
      </c>
      <c r="P100" s="113"/>
      <c r="Q100" s="114"/>
      <c r="R100" s="115">
        <f t="shared" si="25"/>
        <v>3841.666666666667</v>
      </c>
      <c r="S100" s="116">
        <f t="shared" si="26"/>
        <v>192.08333333333334</v>
      </c>
      <c r="T100" s="117" t="str">
        <f t="shared" si="27"/>
        <v>ผ่าน</v>
      </c>
      <c r="U100" s="113"/>
    </row>
    <row r="101" spans="1:55" s="67" customFormat="1" ht="46.5" x14ac:dyDescent="0.55000000000000004">
      <c r="A101" s="102">
        <v>5</v>
      </c>
      <c r="B101" s="174" t="s">
        <v>414</v>
      </c>
      <c r="C101" s="175" t="s">
        <v>415</v>
      </c>
      <c r="D101" s="148" t="s">
        <v>416</v>
      </c>
      <c r="E101" s="177"/>
      <c r="F101" s="177"/>
      <c r="G101" s="177"/>
      <c r="H101" s="177"/>
      <c r="I101" s="123" t="s">
        <v>94</v>
      </c>
      <c r="J101" s="156" t="s">
        <v>402</v>
      </c>
      <c r="K101" s="154" t="s">
        <v>417</v>
      </c>
      <c r="L101" s="162">
        <f>120000/12</f>
        <v>10000</v>
      </c>
      <c r="M101" s="113"/>
      <c r="N101" s="111"/>
      <c r="O101" s="165">
        <f>203500/12</f>
        <v>16958.333333333332</v>
      </c>
      <c r="P101" s="113"/>
      <c r="Q101" s="114"/>
      <c r="R101" s="115">
        <f t="shared" si="25"/>
        <v>6958.3333333333321</v>
      </c>
      <c r="S101" s="116">
        <f t="shared" si="26"/>
        <v>69.583333333333314</v>
      </c>
      <c r="T101" s="117" t="str">
        <f t="shared" si="27"/>
        <v>ผ่าน</v>
      </c>
      <c r="U101" s="113"/>
    </row>
    <row r="102" spans="1:55" s="67" customFormat="1" ht="46.5" x14ac:dyDescent="0.55000000000000004">
      <c r="A102" s="102">
        <v>6</v>
      </c>
      <c r="B102" s="174" t="s">
        <v>418</v>
      </c>
      <c r="C102" s="175" t="s">
        <v>419</v>
      </c>
      <c r="D102" s="148" t="s">
        <v>420</v>
      </c>
      <c r="E102" s="177"/>
      <c r="F102" s="177"/>
      <c r="G102" s="177"/>
      <c r="H102" s="177"/>
      <c r="I102" s="123" t="s">
        <v>94</v>
      </c>
      <c r="J102" s="156" t="s">
        <v>402</v>
      </c>
      <c r="K102" s="154" t="s">
        <v>407</v>
      </c>
      <c r="L102" s="162">
        <f>84000/12</f>
        <v>7000</v>
      </c>
      <c r="M102" s="113"/>
      <c r="N102" s="111"/>
      <c r="O102" s="165">
        <f>151500/12</f>
        <v>12625</v>
      </c>
      <c r="P102" s="113"/>
      <c r="Q102" s="114"/>
      <c r="R102" s="115">
        <f t="shared" si="25"/>
        <v>5625</v>
      </c>
      <c r="S102" s="116">
        <f t="shared" si="26"/>
        <v>80.357142857142861</v>
      </c>
      <c r="T102" s="117" t="str">
        <f t="shared" si="27"/>
        <v>ผ่าน</v>
      </c>
      <c r="U102" s="113"/>
    </row>
    <row r="103" spans="1:55" s="67" customFormat="1" ht="46.5" x14ac:dyDescent="0.55000000000000004">
      <c r="A103" s="102">
        <v>7</v>
      </c>
      <c r="B103" s="174" t="s">
        <v>421</v>
      </c>
      <c r="C103" s="175" t="s">
        <v>400</v>
      </c>
      <c r="D103" s="148" t="s">
        <v>422</v>
      </c>
      <c r="E103" s="177"/>
      <c r="F103" s="177"/>
      <c r="G103" s="177"/>
      <c r="H103" s="177"/>
      <c r="I103" s="123" t="s">
        <v>94</v>
      </c>
      <c r="J103" s="156" t="s">
        <v>402</v>
      </c>
      <c r="K103" s="154" t="s">
        <v>393</v>
      </c>
      <c r="L103" s="162">
        <f>36000/12</f>
        <v>3000</v>
      </c>
      <c r="M103" s="113"/>
      <c r="N103" s="111"/>
      <c r="O103" s="165">
        <f>77500/12</f>
        <v>6458.333333333333</v>
      </c>
      <c r="P103" s="113"/>
      <c r="Q103" s="114"/>
      <c r="R103" s="115">
        <f t="shared" si="25"/>
        <v>3458.333333333333</v>
      </c>
      <c r="S103" s="116">
        <f t="shared" si="26"/>
        <v>115.27777777777777</v>
      </c>
      <c r="T103" s="117" t="str">
        <f t="shared" si="27"/>
        <v>ผ่าน</v>
      </c>
      <c r="U103" s="113"/>
    </row>
    <row r="104" spans="1:55" s="67" customFormat="1" ht="46.5" x14ac:dyDescent="0.55000000000000004">
      <c r="A104" s="102">
        <v>8</v>
      </c>
      <c r="B104" s="174" t="s">
        <v>423</v>
      </c>
      <c r="C104" s="175" t="s">
        <v>400</v>
      </c>
      <c r="D104" s="148" t="s">
        <v>424</v>
      </c>
      <c r="E104" s="177"/>
      <c r="F104" s="177"/>
      <c r="G104" s="177"/>
      <c r="H104" s="177"/>
      <c r="I104" s="123" t="s">
        <v>94</v>
      </c>
      <c r="J104" s="156" t="s">
        <v>402</v>
      </c>
      <c r="K104" s="154" t="s">
        <v>407</v>
      </c>
      <c r="L104" s="162">
        <f>78000/12</f>
        <v>6500</v>
      </c>
      <c r="M104" s="113"/>
      <c r="N104" s="111"/>
      <c r="O104" s="165">
        <f>131500/12</f>
        <v>10958.333333333334</v>
      </c>
      <c r="P104" s="113"/>
      <c r="Q104" s="114"/>
      <c r="R104" s="115">
        <f t="shared" si="25"/>
        <v>4458.3333333333339</v>
      </c>
      <c r="S104" s="116">
        <f t="shared" si="26"/>
        <v>68.589743589743605</v>
      </c>
      <c r="T104" s="117" t="str">
        <f t="shared" si="27"/>
        <v>ผ่าน</v>
      </c>
      <c r="U104" s="113"/>
    </row>
    <row r="105" spans="1:55" s="93" customFormat="1" x14ac:dyDescent="0.55000000000000004">
      <c r="A105" s="90"/>
      <c r="B105" s="91" t="s">
        <v>425</v>
      </c>
      <c r="C105" s="92"/>
      <c r="E105" s="94"/>
      <c r="F105" s="94"/>
      <c r="G105" s="94"/>
      <c r="H105" s="94"/>
      <c r="I105" s="94"/>
      <c r="J105" s="94"/>
      <c r="K105" s="94"/>
      <c r="L105" s="95">
        <f>SUM(L106:L113)</f>
        <v>19065.000000000004</v>
      </c>
      <c r="M105" s="96"/>
      <c r="N105" s="97">
        <f>L105/8</f>
        <v>2383.1250000000005</v>
      </c>
      <c r="O105" s="95">
        <f>SUM(O106:O113)</f>
        <v>68378.333333333343</v>
      </c>
      <c r="P105" s="96"/>
      <c r="Q105" s="97">
        <f>O105/8</f>
        <v>8547.2916666666679</v>
      </c>
      <c r="R105" s="98"/>
      <c r="S105" s="99"/>
      <c r="T105" s="100">
        <f>COUNTIF(T106:T113,"ผ่าน")</f>
        <v>8</v>
      </c>
      <c r="U105" s="101">
        <f>T105*100/8</f>
        <v>100</v>
      </c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</row>
    <row r="106" spans="1:55" s="67" customFormat="1" ht="93" x14ac:dyDescent="0.55000000000000004">
      <c r="A106" s="102">
        <v>1</v>
      </c>
      <c r="B106" s="108" t="s">
        <v>426</v>
      </c>
      <c r="C106" s="179" t="s">
        <v>427</v>
      </c>
      <c r="D106" s="148" t="s">
        <v>428</v>
      </c>
      <c r="E106" s="177"/>
      <c r="F106" s="177"/>
      <c r="G106" s="177"/>
      <c r="H106" s="177"/>
      <c r="I106" s="123" t="s">
        <v>94</v>
      </c>
      <c r="J106" s="156" t="s">
        <v>428</v>
      </c>
      <c r="K106" s="154" t="s">
        <v>429</v>
      </c>
      <c r="L106" s="180">
        <f>42600/12</f>
        <v>3550</v>
      </c>
      <c r="M106" s="113"/>
      <c r="N106" s="111"/>
      <c r="O106" s="147">
        <f>114875/12</f>
        <v>9572.9166666666661</v>
      </c>
      <c r="P106" s="113"/>
      <c r="Q106" s="114"/>
      <c r="R106" s="115">
        <f t="shared" ref="R106:R113" si="28">O106-L106</f>
        <v>6022.9166666666661</v>
      </c>
      <c r="S106" s="116">
        <f t="shared" ref="S106:S113" si="29">R106/L106*100</f>
        <v>169.65962441314554</v>
      </c>
      <c r="T106" s="117" t="str">
        <f t="shared" si="27"/>
        <v>ผ่าน</v>
      </c>
      <c r="U106" s="113"/>
    </row>
    <row r="107" spans="1:55" s="67" customFormat="1" ht="116.25" x14ac:dyDescent="0.55000000000000004">
      <c r="A107" s="102">
        <v>2</v>
      </c>
      <c r="B107" s="108" t="s">
        <v>430</v>
      </c>
      <c r="C107" s="179" t="s">
        <v>431</v>
      </c>
      <c r="D107" s="148" t="s">
        <v>432</v>
      </c>
      <c r="E107" s="177"/>
      <c r="F107" s="177"/>
      <c r="G107" s="177"/>
      <c r="H107" s="177"/>
      <c r="I107" s="123" t="s">
        <v>94</v>
      </c>
      <c r="J107" s="181" t="s">
        <v>432</v>
      </c>
      <c r="K107" s="154" t="s">
        <v>433</v>
      </c>
      <c r="L107" s="180">
        <f>42780/12</f>
        <v>3565</v>
      </c>
      <c r="M107" s="113"/>
      <c r="N107" s="111"/>
      <c r="O107" s="147">
        <f>207270/12</f>
        <v>17272.5</v>
      </c>
      <c r="P107" s="113"/>
      <c r="Q107" s="114"/>
      <c r="R107" s="115">
        <f t="shared" si="28"/>
        <v>13707.5</v>
      </c>
      <c r="S107" s="116">
        <f t="shared" si="29"/>
        <v>384.50210378681629</v>
      </c>
      <c r="T107" s="117" t="str">
        <f t="shared" si="27"/>
        <v>ผ่าน</v>
      </c>
      <c r="U107" s="113"/>
    </row>
    <row r="108" spans="1:55" s="67" customFormat="1" ht="69.75" x14ac:dyDescent="0.55000000000000004">
      <c r="A108" s="102">
        <v>3</v>
      </c>
      <c r="B108" s="108" t="s">
        <v>434</v>
      </c>
      <c r="C108" s="179" t="s">
        <v>435</v>
      </c>
      <c r="D108" s="148" t="s">
        <v>436</v>
      </c>
      <c r="E108" s="177"/>
      <c r="F108" s="177"/>
      <c r="G108" s="177"/>
      <c r="H108" s="177"/>
      <c r="I108" s="123" t="s">
        <v>94</v>
      </c>
      <c r="J108" s="181" t="s">
        <v>436</v>
      </c>
      <c r="K108" s="154" t="s">
        <v>437</v>
      </c>
      <c r="L108" s="180">
        <f>5000/12</f>
        <v>416.66666666666669</v>
      </c>
      <c r="M108" s="113"/>
      <c r="N108" s="111"/>
      <c r="O108" s="147">
        <f>36000/12</f>
        <v>3000</v>
      </c>
      <c r="P108" s="113"/>
      <c r="Q108" s="114"/>
      <c r="R108" s="115">
        <f t="shared" si="28"/>
        <v>2583.3333333333335</v>
      </c>
      <c r="S108" s="116">
        <f t="shared" si="29"/>
        <v>620</v>
      </c>
      <c r="T108" s="117" t="str">
        <f t="shared" si="27"/>
        <v>ผ่าน</v>
      </c>
      <c r="U108" s="113"/>
    </row>
    <row r="109" spans="1:55" s="67" customFormat="1" ht="69.75" x14ac:dyDescent="0.55000000000000004">
      <c r="A109" s="102">
        <v>4</v>
      </c>
      <c r="B109" s="108" t="s">
        <v>438</v>
      </c>
      <c r="C109" s="179" t="s">
        <v>439</v>
      </c>
      <c r="D109" s="148" t="s">
        <v>440</v>
      </c>
      <c r="E109" s="177"/>
      <c r="F109" s="177"/>
      <c r="G109" s="177"/>
      <c r="H109" s="177"/>
      <c r="I109" s="123" t="s">
        <v>94</v>
      </c>
      <c r="J109" s="156" t="s">
        <v>441</v>
      </c>
      <c r="K109" s="154" t="s">
        <v>442</v>
      </c>
      <c r="L109" s="180">
        <f>42990/12</f>
        <v>3582.5</v>
      </c>
      <c r="M109" s="113"/>
      <c r="N109" s="111"/>
      <c r="O109" s="147">
        <f>116195/12</f>
        <v>9682.9166666666661</v>
      </c>
      <c r="P109" s="113"/>
      <c r="Q109" s="114"/>
      <c r="R109" s="115">
        <f t="shared" si="28"/>
        <v>6100.4166666666661</v>
      </c>
      <c r="S109" s="116">
        <f t="shared" si="29"/>
        <v>170.28378692719235</v>
      </c>
      <c r="T109" s="117" t="str">
        <f t="shared" si="27"/>
        <v>ผ่าน</v>
      </c>
      <c r="U109" s="113"/>
    </row>
    <row r="110" spans="1:55" s="67" customFormat="1" ht="69.75" x14ac:dyDescent="0.55000000000000004">
      <c r="A110" s="102">
        <v>5</v>
      </c>
      <c r="B110" s="108" t="s">
        <v>443</v>
      </c>
      <c r="C110" s="179" t="s">
        <v>444</v>
      </c>
      <c r="D110" s="148" t="s">
        <v>445</v>
      </c>
      <c r="E110" s="177"/>
      <c r="F110" s="177"/>
      <c r="G110" s="177"/>
      <c r="H110" s="177"/>
      <c r="I110" s="123" t="s">
        <v>94</v>
      </c>
      <c r="J110" s="156" t="s">
        <v>445</v>
      </c>
      <c r="K110" s="154" t="s">
        <v>446</v>
      </c>
      <c r="L110" s="180">
        <f>42930/12</f>
        <v>3577.5</v>
      </c>
      <c r="M110" s="113"/>
      <c r="N110" s="111"/>
      <c r="O110" s="147">
        <f>105220/12</f>
        <v>8768.3333333333339</v>
      </c>
      <c r="P110" s="113"/>
      <c r="Q110" s="114"/>
      <c r="R110" s="115">
        <f t="shared" si="28"/>
        <v>5190.8333333333339</v>
      </c>
      <c r="S110" s="116">
        <f t="shared" si="29"/>
        <v>145.09666899604008</v>
      </c>
      <c r="T110" s="117" t="str">
        <f t="shared" si="27"/>
        <v>ผ่าน</v>
      </c>
      <c r="U110" s="113"/>
    </row>
    <row r="111" spans="1:55" s="67" customFormat="1" ht="93" x14ac:dyDescent="0.55000000000000004">
      <c r="A111" s="102">
        <v>6</v>
      </c>
      <c r="B111" s="108" t="s">
        <v>447</v>
      </c>
      <c r="C111" s="179" t="s">
        <v>448</v>
      </c>
      <c r="D111" s="148" t="s">
        <v>449</v>
      </c>
      <c r="E111" s="177"/>
      <c r="F111" s="177"/>
      <c r="G111" s="177"/>
      <c r="H111" s="177"/>
      <c r="I111" s="123" t="s">
        <v>94</v>
      </c>
      <c r="J111" s="181" t="s">
        <v>449</v>
      </c>
      <c r="K111" s="154" t="s">
        <v>450</v>
      </c>
      <c r="L111" s="180">
        <f>42480/12</f>
        <v>3540</v>
      </c>
      <c r="M111" s="113"/>
      <c r="N111" s="111"/>
      <c r="O111" s="147">
        <f>120850/12</f>
        <v>10070.833333333334</v>
      </c>
      <c r="P111" s="113"/>
      <c r="Q111" s="114"/>
      <c r="R111" s="115">
        <f t="shared" si="28"/>
        <v>6530.8333333333339</v>
      </c>
      <c r="S111" s="116">
        <f t="shared" si="29"/>
        <v>184.48681732580039</v>
      </c>
      <c r="T111" s="117" t="str">
        <f t="shared" si="27"/>
        <v>ผ่าน</v>
      </c>
      <c r="U111" s="113"/>
    </row>
    <row r="112" spans="1:55" s="67" customFormat="1" ht="139.5" x14ac:dyDescent="0.55000000000000004">
      <c r="A112" s="102">
        <v>7</v>
      </c>
      <c r="B112" s="108" t="s">
        <v>451</v>
      </c>
      <c r="C112" s="179" t="s">
        <v>452</v>
      </c>
      <c r="D112" s="148" t="s">
        <v>453</v>
      </c>
      <c r="E112" s="177"/>
      <c r="F112" s="177"/>
      <c r="G112" s="177"/>
      <c r="H112" s="177"/>
      <c r="I112" s="123" t="s">
        <v>94</v>
      </c>
      <c r="J112" s="156" t="s">
        <v>454</v>
      </c>
      <c r="K112" s="154" t="s">
        <v>455</v>
      </c>
      <c r="L112" s="180">
        <f>5000/12</f>
        <v>416.66666666666669</v>
      </c>
      <c r="M112" s="113"/>
      <c r="N112" s="111"/>
      <c r="O112" s="147">
        <f>84130/12</f>
        <v>7010.833333333333</v>
      </c>
      <c r="P112" s="113"/>
      <c r="Q112" s="114"/>
      <c r="R112" s="115">
        <f t="shared" si="28"/>
        <v>6594.1666666666661</v>
      </c>
      <c r="S112" s="116">
        <f t="shared" si="29"/>
        <v>1582.5999999999997</v>
      </c>
      <c r="T112" s="117" t="str">
        <f t="shared" si="27"/>
        <v>ผ่าน</v>
      </c>
      <c r="U112" s="113"/>
    </row>
    <row r="113" spans="1:55" s="67" customFormat="1" ht="69.75" x14ac:dyDescent="0.55000000000000004">
      <c r="A113" s="102">
        <v>8</v>
      </c>
      <c r="B113" s="108" t="s">
        <v>456</v>
      </c>
      <c r="C113" s="179" t="s">
        <v>457</v>
      </c>
      <c r="D113" s="148" t="s">
        <v>458</v>
      </c>
      <c r="E113" s="177"/>
      <c r="F113" s="177"/>
      <c r="G113" s="177"/>
      <c r="H113" s="177"/>
      <c r="I113" s="123" t="s">
        <v>94</v>
      </c>
      <c r="J113" s="156" t="s">
        <v>458</v>
      </c>
      <c r="K113" s="154" t="s">
        <v>459</v>
      </c>
      <c r="L113" s="180">
        <f>5000/12</f>
        <v>416.66666666666669</v>
      </c>
      <c r="M113" s="113"/>
      <c r="N113" s="111"/>
      <c r="O113" s="147">
        <f>36000/12</f>
        <v>3000</v>
      </c>
      <c r="P113" s="113"/>
      <c r="Q113" s="114"/>
      <c r="R113" s="115">
        <f t="shared" si="28"/>
        <v>2583.3333333333335</v>
      </c>
      <c r="S113" s="116">
        <f t="shared" si="29"/>
        <v>620</v>
      </c>
      <c r="T113" s="117" t="str">
        <f t="shared" si="27"/>
        <v>ผ่าน</v>
      </c>
      <c r="U113" s="113"/>
    </row>
    <row r="114" spans="1:55" s="93" customFormat="1" x14ac:dyDescent="0.55000000000000004">
      <c r="A114" s="90"/>
      <c r="B114" s="91" t="s">
        <v>460</v>
      </c>
      <c r="C114" s="92"/>
      <c r="E114" s="94"/>
      <c r="F114" s="94"/>
      <c r="G114" s="94"/>
      <c r="H114" s="94"/>
      <c r="I114" s="94"/>
      <c r="J114" s="94"/>
      <c r="K114" s="94"/>
      <c r="L114" s="95">
        <f>SUM(L115:L122)</f>
        <v>51600</v>
      </c>
      <c r="M114" s="96"/>
      <c r="N114" s="97">
        <f>L114/8</f>
        <v>6450</v>
      </c>
      <c r="O114" s="95">
        <f>SUM(O115:O122)</f>
        <v>86073.25</v>
      </c>
      <c r="P114" s="96"/>
      <c r="Q114" s="97">
        <f>O114/8</f>
        <v>10759.15625</v>
      </c>
      <c r="R114" s="98"/>
      <c r="S114" s="99"/>
      <c r="T114" s="100">
        <f>COUNTIF(T115:T122,"ผ่าน")</f>
        <v>6</v>
      </c>
      <c r="U114" s="101">
        <f>T114*100/8</f>
        <v>75</v>
      </c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</row>
    <row r="115" spans="1:55" s="67" customFormat="1" ht="93" x14ac:dyDescent="0.55000000000000004">
      <c r="A115" s="102">
        <v>1</v>
      </c>
      <c r="B115" s="108" t="s">
        <v>461</v>
      </c>
      <c r="C115" s="179" t="s">
        <v>462</v>
      </c>
      <c r="D115" s="148" t="s">
        <v>463</v>
      </c>
      <c r="E115" s="177"/>
      <c r="F115" s="177"/>
      <c r="G115" s="177"/>
      <c r="H115" s="177"/>
      <c r="I115" s="123" t="s">
        <v>94</v>
      </c>
      <c r="J115" s="156" t="s">
        <v>464</v>
      </c>
      <c r="K115" s="154" t="s">
        <v>465</v>
      </c>
      <c r="L115" s="162">
        <f>89000/12</f>
        <v>7416.666666666667</v>
      </c>
      <c r="M115" s="113"/>
      <c r="N115" s="111"/>
      <c r="O115" s="112">
        <f>105754/12</f>
        <v>8812.8333333333339</v>
      </c>
      <c r="P115" s="113"/>
      <c r="Q115" s="114"/>
      <c r="R115" s="115">
        <f t="shared" ref="R115:R122" si="30">O115-L115</f>
        <v>1396.166666666667</v>
      </c>
      <c r="S115" s="116">
        <f t="shared" ref="S115:S122" si="31">R115/L115*100</f>
        <v>18.824719101123598</v>
      </c>
      <c r="T115" s="117" t="str">
        <f t="shared" ref="T115:T122" si="32">IF(S115&gt;=40,"ผ่าน","ไม่ผ่าน")</f>
        <v>ไม่ผ่าน</v>
      </c>
      <c r="U115" s="113"/>
    </row>
    <row r="116" spans="1:55" s="67" customFormat="1" ht="69.75" x14ac:dyDescent="0.55000000000000004">
      <c r="A116" s="102">
        <v>2</v>
      </c>
      <c r="B116" s="108" t="s">
        <v>466</v>
      </c>
      <c r="C116" s="179" t="s">
        <v>467</v>
      </c>
      <c r="D116" s="148" t="s">
        <v>468</v>
      </c>
      <c r="E116" s="177"/>
      <c r="F116" s="177"/>
      <c r="G116" s="177"/>
      <c r="H116" s="177"/>
      <c r="I116" s="123" t="s">
        <v>94</v>
      </c>
      <c r="J116" s="156" t="s">
        <v>464</v>
      </c>
      <c r="K116" s="154" t="s">
        <v>469</v>
      </c>
      <c r="L116" s="162">
        <f>78000/12</f>
        <v>6500</v>
      </c>
      <c r="M116" s="113"/>
      <c r="N116" s="111"/>
      <c r="O116" s="112">
        <f>137882/12</f>
        <v>11490.166666666666</v>
      </c>
      <c r="P116" s="113"/>
      <c r="Q116" s="114"/>
      <c r="R116" s="115">
        <f t="shared" si="30"/>
        <v>4990.1666666666661</v>
      </c>
      <c r="S116" s="116">
        <f t="shared" si="31"/>
        <v>76.771794871794867</v>
      </c>
      <c r="T116" s="117" t="str">
        <f t="shared" si="32"/>
        <v>ผ่าน</v>
      </c>
      <c r="U116" s="113"/>
    </row>
    <row r="117" spans="1:55" s="67" customFormat="1" ht="69.75" x14ac:dyDescent="0.55000000000000004">
      <c r="A117" s="102">
        <v>3</v>
      </c>
      <c r="B117" s="108" t="s">
        <v>470</v>
      </c>
      <c r="C117" s="179" t="s">
        <v>471</v>
      </c>
      <c r="D117" s="148" t="s">
        <v>472</v>
      </c>
      <c r="E117" s="177"/>
      <c r="F117" s="177"/>
      <c r="G117" s="177"/>
      <c r="H117" s="177"/>
      <c r="I117" s="123" t="s">
        <v>94</v>
      </c>
      <c r="J117" s="156" t="s">
        <v>464</v>
      </c>
      <c r="K117" s="154" t="s">
        <v>473</v>
      </c>
      <c r="L117" s="162">
        <f>86000/12</f>
        <v>7166.666666666667</v>
      </c>
      <c r="M117" s="113"/>
      <c r="N117" s="111"/>
      <c r="O117" s="112">
        <f>181570/12</f>
        <v>15130.833333333334</v>
      </c>
      <c r="P117" s="113"/>
      <c r="Q117" s="114"/>
      <c r="R117" s="115">
        <f t="shared" si="30"/>
        <v>7964.166666666667</v>
      </c>
      <c r="S117" s="116">
        <f t="shared" si="31"/>
        <v>111.1279069767442</v>
      </c>
      <c r="T117" s="117" t="str">
        <f t="shared" si="32"/>
        <v>ผ่าน</v>
      </c>
      <c r="U117" s="113"/>
    </row>
    <row r="118" spans="1:55" s="67" customFormat="1" ht="69.75" x14ac:dyDescent="0.55000000000000004">
      <c r="A118" s="102">
        <v>4</v>
      </c>
      <c r="B118" s="108" t="s">
        <v>474</v>
      </c>
      <c r="C118" s="179" t="s">
        <v>475</v>
      </c>
      <c r="D118" s="148" t="s">
        <v>476</v>
      </c>
      <c r="E118" s="177"/>
      <c r="F118" s="177"/>
      <c r="G118" s="177"/>
      <c r="H118" s="177"/>
      <c r="I118" s="123" t="s">
        <v>94</v>
      </c>
      <c r="J118" s="156" t="s">
        <v>464</v>
      </c>
      <c r="K118" s="154" t="s">
        <v>477</v>
      </c>
      <c r="L118" s="162">
        <f>65000/12</f>
        <v>5416.666666666667</v>
      </c>
      <c r="M118" s="113"/>
      <c r="N118" s="111"/>
      <c r="O118" s="112">
        <f>111130/12</f>
        <v>9260.8333333333339</v>
      </c>
      <c r="P118" s="113"/>
      <c r="Q118" s="114"/>
      <c r="R118" s="115">
        <f t="shared" si="30"/>
        <v>3844.166666666667</v>
      </c>
      <c r="S118" s="116">
        <f t="shared" si="31"/>
        <v>70.969230769230776</v>
      </c>
      <c r="T118" s="117" t="str">
        <f t="shared" si="32"/>
        <v>ผ่าน</v>
      </c>
      <c r="U118" s="113"/>
    </row>
    <row r="119" spans="1:55" s="67" customFormat="1" ht="69.75" x14ac:dyDescent="0.55000000000000004">
      <c r="A119" s="102">
        <v>5</v>
      </c>
      <c r="B119" s="108" t="s">
        <v>478</v>
      </c>
      <c r="C119" s="179" t="s">
        <v>479</v>
      </c>
      <c r="D119" s="148" t="s">
        <v>480</v>
      </c>
      <c r="E119" s="177"/>
      <c r="F119" s="177"/>
      <c r="G119" s="177"/>
      <c r="H119" s="177"/>
      <c r="I119" s="123" t="s">
        <v>94</v>
      </c>
      <c r="J119" s="156" t="s">
        <v>464</v>
      </c>
      <c r="K119" s="154" t="s">
        <v>481</v>
      </c>
      <c r="L119" s="162">
        <f>65200/12</f>
        <v>5433.333333333333</v>
      </c>
      <c r="M119" s="113"/>
      <c r="N119" s="111"/>
      <c r="O119" s="112">
        <f>105910/12</f>
        <v>8825.8333333333339</v>
      </c>
      <c r="P119" s="113"/>
      <c r="Q119" s="114"/>
      <c r="R119" s="115">
        <f t="shared" si="30"/>
        <v>3392.5000000000009</v>
      </c>
      <c r="S119" s="116">
        <f t="shared" si="31"/>
        <v>62.438650306748485</v>
      </c>
      <c r="T119" s="117" t="str">
        <f t="shared" si="32"/>
        <v>ผ่าน</v>
      </c>
      <c r="U119" s="113"/>
    </row>
    <row r="120" spans="1:55" s="67" customFormat="1" ht="69.75" x14ac:dyDescent="0.55000000000000004">
      <c r="A120" s="102">
        <v>6</v>
      </c>
      <c r="B120" s="108" t="s">
        <v>482</v>
      </c>
      <c r="C120" s="179" t="s">
        <v>483</v>
      </c>
      <c r="D120" s="148" t="s">
        <v>484</v>
      </c>
      <c r="E120" s="177"/>
      <c r="F120" s="177"/>
      <c r="G120" s="177"/>
      <c r="H120" s="177"/>
      <c r="I120" s="123" t="s">
        <v>94</v>
      </c>
      <c r="J120" s="156" t="s">
        <v>464</v>
      </c>
      <c r="K120" s="154" t="s">
        <v>481</v>
      </c>
      <c r="L120" s="162">
        <f>92000/12</f>
        <v>7666.666666666667</v>
      </c>
      <c r="M120" s="113"/>
      <c r="N120" s="111"/>
      <c r="O120" s="112">
        <f>196580/12</f>
        <v>16381.666666666666</v>
      </c>
      <c r="P120" s="113"/>
      <c r="Q120" s="114"/>
      <c r="R120" s="115">
        <f t="shared" si="30"/>
        <v>8715</v>
      </c>
      <c r="S120" s="116">
        <f t="shared" si="31"/>
        <v>113.67391304347825</v>
      </c>
      <c r="T120" s="117" t="str">
        <f t="shared" si="32"/>
        <v>ผ่าน</v>
      </c>
      <c r="U120" s="113"/>
    </row>
    <row r="121" spans="1:55" s="67" customFormat="1" ht="69.75" x14ac:dyDescent="0.55000000000000004">
      <c r="A121" s="102">
        <v>7</v>
      </c>
      <c r="B121" s="108" t="s">
        <v>485</v>
      </c>
      <c r="C121" s="179" t="s">
        <v>486</v>
      </c>
      <c r="D121" s="148" t="s">
        <v>487</v>
      </c>
      <c r="E121" s="177"/>
      <c r="F121" s="177"/>
      <c r="G121" s="177"/>
      <c r="H121" s="177"/>
      <c r="I121" s="123" t="s">
        <v>94</v>
      </c>
      <c r="J121" s="156" t="s">
        <v>464</v>
      </c>
      <c r="K121" s="154" t="s">
        <v>231</v>
      </c>
      <c r="L121" s="162">
        <f>60000/12</f>
        <v>5000</v>
      </c>
      <c r="M121" s="113"/>
      <c r="N121" s="111"/>
      <c r="O121" s="112">
        <f>84475/12</f>
        <v>7039.583333333333</v>
      </c>
      <c r="P121" s="113"/>
      <c r="Q121" s="114"/>
      <c r="R121" s="115">
        <f t="shared" si="30"/>
        <v>2039.583333333333</v>
      </c>
      <c r="S121" s="116">
        <f t="shared" si="31"/>
        <v>40.791666666666657</v>
      </c>
      <c r="T121" s="117" t="str">
        <f t="shared" si="32"/>
        <v>ผ่าน</v>
      </c>
      <c r="U121" s="113"/>
    </row>
    <row r="122" spans="1:55" s="67" customFormat="1" ht="69.75" x14ac:dyDescent="0.55000000000000004">
      <c r="A122" s="102">
        <v>8</v>
      </c>
      <c r="B122" s="108" t="s">
        <v>488</v>
      </c>
      <c r="C122" s="179" t="s">
        <v>489</v>
      </c>
      <c r="D122" s="148" t="s">
        <v>487</v>
      </c>
      <c r="E122" s="177"/>
      <c r="F122" s="177"/>
      <c r="G122" s="177"/>
      <c r="H122" s="177"/>
      <c r="I122" s="123" t="s">
        <v>94</v>
      </c>
      <c r="J122" s="156" t="s">
        <v>464</v>
      </c>
      <c r="K122" s="154" t="s">
        <v>490</v>
      </c>
      <c r="L122" s="162">
        <f>84000/12</f>
        <v>7000</v>
      </c>
      <c r="M122" s="113"/>
      <c r="N122" s="111"/>
      <c r="O122" s="112">
        <f>109578/12</f>
        <v>9131.5</v>
      </c>
      <c r="P122" s="113"/>
      <c r="Q122" s="114"/>
      <c r="R122" s="115">
        <f t="shared" si="30"/>
        <v>2131.5</v>
      </c>
      <c r="S122" s="116">
        <f t="shared" si="31"/>
        <v>30.45</v>
      </c>
      <c r="T122" s="117" t="str">
        <f t="shared" si="32"/>
        <v>ไม่ผ่าน</v>
      </c>
      <c r="U122" s="113"/>
    </row>
    <row r="123" spans="1:55" s="93" customFormat="1" x14ac:dyDescent="0.55000000000000004">
      <c r="A123" s="90"/>
      <c r="B123" s="91" t="s">
        <v>491</v>
      </c>
      <c r="C123" s="92"/>
      <c r="E123" s="94"/>
      <c r="F123" s="94"/>
      <c r="G123" s="94"/>
      <c r="H123" s="94"/>
      <c r="I123" s="94"/>
      <c r="J123" s="94"/>
      <c r="K123" s="94"/>
      <c r="L123" s="95">
        <f>SUM(L124:L131)</f>
        <v>45000</v>
      </c>
      <c r="M123" s="96"/>
      <c r="N123" s="97">
        <f>L123/8</f>
        <v>5625</v>
      </c>
      <c r="O123" s="95">
        <f>SUM(O124:O131)</f>
        <v>67400</v>
      </c>
      <c r="P123" s="96"/>
      <c r="Q123" s="97">
        <f>O123/8</f>
        <v>8425</v>
      </c>
      <c r="R123" s="98"/>
      <c r="S123" s="99"/>
      <c r="T123" s="100">
        <f>COUNTIF(T124:T131,"ผ่าน")</f>
        <v>8</v>
      </c>
      <c r="U123" s="101">
        <f>T123*100/8</f>
        <v>100</v>
      </c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</row>
    <row r="124" spans="1:55" s="67" customFormat="1" ht="48" x14ac:dyDescent="0.55000000000000004">
      <c r="A124" s="182">
        <v>1</v>
      </c>
      <c r="B124" s="183" t="s">
        <v>492</v>
      </c>
      <c r="C124" s="184" t="s">
        <v>493</v>
      </c>
      <c r="D124" s="185" t="s">
        <v>494</v>
      </c>
      <c r="E124" s="177"/>
      <c r="F124" s="177"/>
      <c r="G124" s="177"/>
      <c r="H124" s="177"/>
      <c r="I124" s="186" t="s">
        <v>94</v>
      </c>
      <c r="J124" s="185" t="s">
        <v>495</v>
      </c>
      <c r="K124" s="185" t="s">
        <v>496</v>
      </c>
      <c r="L124" s="187">
        <f>120000/12</f>
        <v>10000</v>
      </c>
      <c r="M124" s="113"/>
      <c r="N124" s="111"/>
      <c r="O124" s="112">
        <f>186000/12</f>
        <v>15500</v>
      </c>
      <c r="P124" s="113"/>
      <c r="Q124" s="114"/>
      <c r="R124" s="115">
        <f t="shared" ref="R124:R131" si="33">O124-L124</f>
        <v>5500</v>
      </c>
      <c r="S124" s="116">
        <f t="shared" ref="S124:S131" si="34">R124/L124*100</f>
        <v>55.000000000000007</v>
      </c>
      <c r="T124" s="117" t="str">
        <f t="shared" ref="T124:T131" si="35">IF(S124&gt;=40,"ผ่าน","ไม่ผ่าน")</f>
        <v>ผ่าน</v>
      </c>
      <c r="U124" s="113"/>
    </row>
    <row r="125" spans="1:55" s="67" customFormat="1" ht="70.5" customHeight="1" x14ac:dyDescent="0.55000000000000004">
      <c r="A125" s="182">
        <v>2</v>
      </c>
      <c r="B125" s="108" t="s">
        <v>497</v>
      </c>
      <c r="C125" s="188" t="s">
        <v>498</v>
      </c>
      <c r="D125" s="185" t="s">
        <v>499</v>
      </c>
      <c r="E125" s="177"/>
      <c r="F125" s="177"/>
      <c r="G125" s="177"/>
      <c r="H125" s="177"/>
      <c r="I125" s="186" t="s">
        <v>94</v>
      </c>
      <c r="J125" s="185" t="s">
        <v>495</v>
      </c>
      <c r="K125" s="189" t="s">
        <v>500</v>
      </c>
      <c r="L125" s="187">
        <f>108000/12</f>
        <v>9000</v>
      </c>
      <c r="M125" s="113"/>
      <c r="N125" s="111"/>
      <c r="O125" s="112">
        <f>154800/12</f>
        <v>12900</v>
      </c>
      <c r="P125" s="113"/>
      <c r="Q125" s="114"/>
      <c r="R125" s="115">
        <f t="shared" si="33"/>
        <v>3900</v>
      </c>
      <c r="S125" s="116">
        <f t="shared" si="34"/>
        <v>43.333333333333336</v>
      </c>
      <c r="T125" s="117" t="str">
        <f t="shared" si="35"/>
        <v>ผ่าน</v>
      </c>
      <c r="U125" s="113"/>
    </row>
    <row r="126" spans="1:55" s="67" customFormat="1" ht="48" x14ac:dyDescent="0.55000000000000004">
      <c r="A126" s="182">
        <v>3</v>
      </c>
      <c r="B126" s="108" t="s">
        <v>501</v>
      </c>
      <c r="C126" s="188" t="s">
        <v>502</v>
      </c>
      <c r="D126" s="185" t="s">
        <v>503</v>
      </c>
      <c r="E126" s="177"/>
      <c r="F126" s="177"/>
      <c r="G126" s="177"/>
      <c r="H126" s="177"/>
      <c r="I126" s="186" t="s">
        <v>94</v>
      </c>
      <c r="J126" s="185" t="s">
        <v>495</v>
      </c>
      <c r="K126" s="189" t="s">
        <v>500</v>
      </c>
      <c r="L126" s="187">
        <f>60000/12</f>
        <v>5000</v>
      </c>
      <c r="M126" s="113"/>
      <c r="N126" s="111"/>
      <c r="O126" s="112">
        <f>91200/12</f>
        <v>7600</v>
      </c>
      <c r="P126" s="113"/>
      <c r="Q126" s="114"/>
      <c r="R126" s="115">
        <f t="shared" si="33"/>
        <v>2600</v>
      </c>
      <c r="S126" s="116">
        <f t="shared" si="34"/>
        <v>52</v>
      </c>
      <c r="T126" s="117" t="str">
        <f t="shared" si="35"/>
        <v>ผ่าน</v>
      </c>
      <c r="U126" s="113"/>
    </row>
    <row r="127" spans="1:55" s="67" customFormat="1" ht="70.5" customHeight="1" x14ac:dyDescent="0.55000000000000004">
      <c r="A127" s="182">
        <v>4</v>
      </c>
      <c r="B127" s="108" t="s">
        <v>504</v>
      </c>
      <c r="C127" s="188" t="s">
        <v>457</v>
      </c>
      <c r="D127" s="185" t="s">
        <v>505</v>
      </c>
      <c r="E127" s="177"/>
      <c r="F127" s="177"/>
      <c r="G127" s="177"/>
      <c r="H127" s="177"/>
      <c r="I127" s="186" t="s">
        <v>94</v>
      </c>
      <c r="J127" s="185" t="s">
        <v>495</v>
      </c>
      <c r="K127" s="189" t="s">
        <v>500</v>
      </c>
      <c r="L127" s="187">
        <f>60000/12</f>
        <v>5000</v>
      </c>
      <c r="M127" s="113"/>
      <c r="N127" s="111"/>
      <c r="O127" s="112">
        <f>96000/12</f>
        <v>8000</v>
      </c>
      <c r="P127" s="113"/>
      <c r="Q127" s="114"/>
      <c r="R127" s="115">
        <f t="shared" si="33"/>
        <v>3000</v>
      </c>
      <c r="S127" s="116">
        <f t="shared" si="34"/>
        <v>60</v>
      </c>
      <c r="T127" s="117" t="str">
        <f t="shared" si="35"/>
        <v>ผ่าน</v>
      </c>
      <c r="U127" s="113"/>
    </row>
    <row r="128" spans="1:55" s="67" customFormat="1" ht="48" x14ac:dyDescent="0.55000000000000004">
      <c r="A128" s="182">
        <v>5</v>
      </c>
      <c r="B128" s="108" t="s">
        <v>506</v>
      </c>
      <c r="C128" s="188" t="s">
        <v>507</v>
      </c>
      <c r="D128" s="185" t="s">
        <v>508</v>
      </c>
      <c r="E128" s="177"/>
      <c r="F128" s="177"/>
      <c r="G128" s="177"/>
      <c r="H128" s="177"/>
      <c r="I128" s="186" t="s">
        <v>94</v>
      </c>
      <c r="J128" s="185" t="s">
        <v>495</v>
      </c>
      <c r="K128" s="189" t="s">
        <v>500</v>
      </c>
      <c r="L128" s="187">
        <f>54000/12</f>
        <v>4500</v>
      </c>
      <c r="M128" s="113"/>
      <c r="N128" s="111"/>
      <c r="O128" s="112">
        <f>79200/12</f>
        <v>6600</v>
      </c>
      <c r="P128" s="113"/>
      <c r="Q128" s="114"/>
      <c r="R128" s="115">
        <f t="shared" si="33"/>
        <v>2100</v>
      </c>
      <c r="S128" s="116">
        <f t="shared" si="34"/>
        <v>46.666666666666664</v>
      </c>
      <c r="T128" s="117" t="str">
        <f t="shared" si="35"/>
        <v>ผ่าน</v>
      </c>
      <c r="U128" s="113"/>
    </row>
    <row r="129" spans="1:55" s="67" customFormat="1" ht="48" x14ac:dyDescent="0.55000000000000004">
      <c r="A129" s="182">
        <v>6</v>
      </c>
      <c r="B129" s="108" t="s">
        <v>509</v>
      </c>
      <c r="C129" s="188" t="s">
        <v>510</v>
      </c>
      <c r="D129" s="185" t="s">
        <v>511</v>
      </c>
      <c r="E129" s="177"/>
      <c r="F129" s="177"/>
      <c r="G129" s="177"/>
      <c r="H129" s="177"/>
      <c r="I129" s="186" t="s">
        <v>94</v>
      </c>
      <c r="J129" s="185" t="s">
        <v>495</v>
      </c>
      <c r="K129" s="189" t="s">
        <v>500</v>
      </c>
      <c r="L129" s="187">
        <f>36000/12</f>
        <v>3000</v>
      </c>
      <c r="M129" s="113"/>
      <c r="N129" s="111"/>
      <c r="O129" s="112">
        <f>52800/12</f>
        <v>4400</v>
      </c>
      <c r="P129" s="113"/>
      <c r="Q129" s="114"/>
      <c r="R129" s="115">
        <f t="shared" si="33"/>
        <v>1400</v>
      </c>
      <c r="S129" s="116">
        <f t="shared" si="34"/>
        <v>46.666666666666664</v>
      </c>
      <c r="T129" s="117" t="str">
        <f t="shared" si="35"/>
        <v>ผ่าน</v>
      </c>
      <c r="U129" s="113"/>
    </row>
    <row r="130" spans="1:55" s="67" customFormat="1" ht="48" x14ac:dyDescent="0.55000000000000004">
      <c r="A130" s="182">
        <v>7</v>
      </c>
      <c r="B130" s="108" t="s">
        <v>512</v>
      </c>
      <c r="C130" s="188" t="s">
        <v>513</v>
      </c>
      <c r="D130" s="185" t="s">
        <v>514</v>
      </c>
      <c r="E130" s="177"/>
      <c r="F130" s="177"/>
      <c r="G130" s="177"/>
      <c r="H130" s="177"/>
      <c r="I130" s="186" t="s">
        <v>94</v>
      </c>
      <c r="J130" s="185" t="s">
        <v>495</v>
      </c>
      <c r="K130" s="189" t="s">
        <v>500</v>
      </c>
      <c r="L130" s="187">
        <f>66000/12</f>
        <v>5500</v>
      </c>
      <c r="M130" s="113"/>
      <c r="N130" s="111"/>
      <c r="O130" s="112">
        <f>96000/12</f>
        <v>8000</v>
      </c>
      <c r="P130" s="113"/>
      <c r="Q130" s="114"/>
      <c r="R130" s="115">
        <f t="shared" si="33"/>
        <v>2500</v>
      </c>
      <c r="S130" s="116">
        <f t="shared" si="34"/>
        <v>45.454545454545453</v>
      </c>
      <c r="T130" s="117" t="str">
        <f t="shared" si="35"/>
        <v>ผ่าน</v>
      </c>
      <c r="U130" s="113"/>
    </row>
    <row r="131" spans="1:55" s="67" customFormat="1" ht="48" x14ac:dyDescent="0.55000000000000004">
      <c r="A131" s="182">
        <v>8</v>
      </c>
      <c r="B131" s="190" t="s">
        <v>515</v>
      </c>
      <c r="C131" s="191" t="s">
        <v>516</v>
      </c>
      <c r="D131" s="185" t="s">
        <v>517</v>
      </c>
      <c r="E131" s="177"/>
      <c r="F131" s="177"/>
      <c r="G131" s="177"/>
      <c r="H131" s="177"/>
      <c r="I131" s="186" t="s">
        <v>94</v>
      </c>
      <c r="J131" s="185" t="s">
        <v>495</v>
      </c>
      <c r="K131" s="189" t="s">
        <v>500</v>
      </c>
      <c r="L131" s="187">
        <f>36000/12</f>
        <v>3000</v>
      </c>
      <c r="M131" s="113"/>
      <c r="N131" s="111"/>
      <c r="O131" s="112">
        <f>52800/12</f>
        <v>4400</v>
      </c>
      <c r="P131" s="113"/>
      <c r="Q131" s="114"/>
      <c r="R131" s="115">
        <f t="shared" si="33"/>
        <v>1400</v>
      </c>
      <c r="S131" s="116">
        <f t="shared" si="34"/>
        <v>46.666666666666664</v>
      </c>
      <c r="T131" s="117" t="str">
        <f t="shared" si="35"/>
        <v>ผ่าน</v>
      </c>
      <c r="U131" s="113"/>
    </row>
    <row r="132" spans="1:55" s="93" customFormat="1" x14ac:dyDescent="0.55000000000000004">
      <c r="A132" s="90"/>
      <c r="B132" s="192" t="s">
        <v>518</v>
      </c>
      <c r="C132" s="193"/>
      <c r="E132" s="94"/>
      <c r="F132" s="94"/>
      <c r="G132" s="94"/>
      <c r="H132" s="94"/>
      <c r="I132" s="94"/>
      <c r="J132" s="94"/>
      <c r="K132" s="94"/>
      <c r="L132" s="95">
        <f>SUM(L133:L140)</f>
        <v>11000</v>
      </c>
      <c r="M132" s="96"/>
      <c r="N132" s="97">
        <f>L132/8</f>
        <v>1375</v>
      </c>
      <c r="O132" s="95">
        <f>SUM(O133:O140)</f>
        <v>18000</v>
      </c>
      <c r="P132" s="96"/>
      <c r="Q132" s="97">
        <f>O132/8</f>
        <v>2250</v>
      </c>
      <c r="R132" s="98"/>
      <c r="S132" s="99"/>
      <c r="T132" s="100">
        <f>COUNTIF(T133:T140,"ผ่าน")</f>
        <v>3</v>
      </c>
      <c r="U132" s="101">
        <f>T132*100/8</f>
        <v>37.5</v>
      </c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</row>
    <row r="133" spans="1:55" s="67" customFormat="1" ht="72" x14ac:dyDescent="0.55000000000000004">
      <c r="A133" s="194">
        <v>1</v>
      </c>
      <c r="B133" s="195" t="s">
        <v>519</v>
      </c>
      <c r="C133" s="196" t="s">
        <v>520</v>
      </c>
      <c r="D133" s="185" t="s">
        <v>521</v>
      </c>
      <c r="E133" s="177"/>
      <c r="F133" s="177"/>
      <c r="G133" s="177"/>
      <c r="H133" s="177"/>
      <c r="I133" s="123" t="s">
        <v>94</v>
      </c>
      <c r="J133" s="197" t="s">
        <v>522</v>
      </c>
      <c r="K133" s="198" t="s">
        <v>523</v>
      </c>
      <c r="L133" s="146">
        <v>5000</v>
      </c>
      <c r="M133" s="113"/>
      <c r="N133" s="111"/>
      <c r="O133" s="112">
        <v>8000</v>
      </c>
      <c r="P133" s="113"/>
      <c r="Q133" s="114"/>
      <c r="R133" s="115">
        <f t="shared" ref="R133:R135" si="36">O133-L133</f>
        <v>3000</v>
      </c>
      <c r="S133" s="116">
        <f t="shared" ref="S133:S135" si="37">R133/L133*100</f>
        <v>60</v>
      </c>
      <c r="T133" s="117" t="str">
        <f t="shared" ref="T133:T135" si="38">IF(S133&gt;=40,"ผ่าน","ไม่ผ่าน")</f>
        <v>ผ่าน</v>
      </c>
      <c r="U133" s="113"/>
    </row>
    <row r="134" spans="1:55" s="67" customFormat="1" ht="69.75" x14ac:dyDescent="0.55000000000000004">
      <c r="A134" s="194">
        <v>2</v>
      </c>
      <c r="B134" s="195" t="s">
        <v>524</v>
      </c>
      <c r="C134" s="196" t="s">
        <v>525</v>
      </c>
      <c r="D134" s="198" t="s">
        <v>526</v>
      </c>
      <c r="E134" s="177"/>
      <c r="F134" s="177"/>
      <c r="G134" s="177"/>
      <c r="H134" s="177"/>
      <c r="I134" s="123" t="s">
        <v>94</v>
      </c>
      <c r="J134" s="197" t="s">
        <v>522</v>
      </c>
      <c r="K134" s="198" t="s">
        <v>523</v>
      </c>
      <c r="L134" s="146">
        <v>3000</v>
      </c>
      <c r="M134" s="113"/>
      <c r="N134" s="111"/>
      <c r="O134" s="112">
        <v>5000</v>
      </c>
      <c r="P134" s="113"/>
      <c r="Q134" s="114"/>
      <c r="R134" s="115">
        <f t="shared" si="36"/>
        <v>2000</v>
      </c>
      <c r="S134" s="116">
        <f t="shared" si="37"/>
        <v>66.666666666666657</v>
      </c>
      <c r="T134" s="117" t="str">
        <f t="shared" si="38"/>
        <v>ผ่าน</v>
      </c>
      <c r="U134" s="113"/>
    </row>
    <row r="135" spans="1:55" s="67" customFormat="1" ht="69.75" x14ac:dyDescent="0.55000000000000004">
      <c r="A135" s="194">
        <v>3</v>
      </c>
      <c r="B135" s="195" t="s">
        <v>527</v>
      </c>
      <c r="C135" s="196" t="s">
        <v>528</v>
      </c>
      <c r="D135" s="198" t="s">
        <v>529</v>
      </c>
      <c r="E135" s="177"/>
      <c r="F135" s="177"/>
      <c r="G135" s="177"/>
      <c r="H135" s="177"/>
      <c r="I135" s="123" t="s">
        <v>94</v>
      </c>
      <c r="J135" s="197" t="s">
        <v>522</v>
      </c>
      <c r="K135" s="198" t="s">
        <v>523</v>
      </c>
      <c r="L135" s="146">
        <v>3000</v>
      </c>
      <c r="M135" s="113"/>
      <c r="N135" s="111"/>
      <c r="O135" s="112">
        <v>5000</v>
      </c>
      <c r="P135" s="113"/>
      <c r="Q135" s="114"/>
      <c r="R135" s="115">
        <f t="shared" si="36"/>
        <v>2000</v>
      </c>
      <c r="S135" s="116">
        <f t="shared" si="37"/>
        <v>66.666666666666657</v>
      </c>
      <c r="T135" s="117" t="str">
        <f t="shared" si="38"/>
        <v>ผ่าน</v>
      </c>
      <c r="U135" s="113"/>
    </row>
    <row r="136" spans="1:55" s="209" customFormat="1" x14ac:dyDescent="0.2">
      <c r="A136" s="199"/>
      <c r="B136" s="200" t="s">
        <v>530</v>
      </c>
      <c r="C136" s="201" t="s">
        <v>531</v>
      </c>
      <c r="D136" s="202"/>
      <c r="E136" s="202"/>
      <c r="F136" s="202"/>
      <c r="G136" s="202"/>
      <c r="H136" s="202"/>
      <c r="I136" s="202"/>
      <c r="J136" s="202"/>
      <c r="K136" s="202"/>
      <c r="L136" s="203"/>
      <c r="M136" s="204"/>
      <c r="N136" s="203"/>
      <c r="O136" s="205"/>
      <c r="P136" s="206"/>
      <c r="Q136" s="205"/>
      <c r="R136" s="202"/>
      <c r="S136" s="207"/>
      <c r="T136" s="208"/>
      <c r="U136" s="208"/>
    </row>
    <row r="137" spans="1:55" s="67" customFormat="1" x14ac:dyDescent="0.55000000000000004">
      <c r="A137" s="210"/>
      <c r="I137" s="211"/>
      <c r="J137" s="212"/>
    </row>
  </sheetData>
  <mergeCells count="28">
    <mergeCell ref="B105:C105"/>
    <mergeCell ref="B114:C114"/>
    <mergeCell ref="B123:C123"/>
    <mergeCell ref="B132:C132"/>
    <mergeCell ref="B51:C51"/>
    <mergeCell ref="B60:C60"/>
    <mergeCell ref="B69:C69"/>
    <mergeCell ref="B78:C78"/>
    <mergeCell ref="B87:C87"/>
    <mergeCell ref="B96:C96"/>
    <mergeCell ref="U4:U5"/>
    <mergeCell ref="B6:C6"/>
    <mergeCell ref="B15:C15"/>
    <mergeCell ref="B24:C24"/>
    <mergeCell ref="B33:C33"/>
    <mergeCell ref="B42:C42"/>
    <mergeCell ref="K4:K5"/>
    <mergeCell ref="L4:N4"/>
    <mergeCell ref="O4:Q4"/>
    <mergeCell ref="R4:R5"/>
    <mergeCell ref="S4:S5"/>
    <mergeCell ref="T4:T5"/>
    <mergeCell ref="A4:A5"/>
    <mergeCell ref="B4:C5"/>
    <mergeCell ref="D4:D5"/>
    <mergeCell ref="E4:H4"/>
    <mergeCell ref="I4:I5"/>
    <mergeCell ref="J4:J5"/>
  </mergeCells>
  <conditionalFormatting sqref="B115:B122">
    <cfRule type="duplicateValues" dxfId="1" priority="2"/>
  </conditionalFormatting>
  <conditionalFormatting sqref="B124:C131">
    <cfRule type="duplicateValues" dxfId="0" priority="1"/>
  </conditionalFormatting>
  <dataValidations count="1">
    <dataValidation type="list" allowBlank="1" showInputMessage="1" showErrorMessage="1" sqref="S2">
      <formula1>#REF!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8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2.4.3</vt:lpstr>
      <vt:lpstr>รายละเอียด 2.4.3</vt:lpstr>
      <vt:lpstr>'รายละเอียด 2.4.3'!Print_Area</vt:lpstr>
      <vt:lpstr>'รายละเอียด 2.4.3'!Print_Titles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2023-01-06T02:42:47Z</dcterms:created>
  <dcterms:modified xsi:type="dcterms:W3CDTF">2023-01-06T02:42:54Z</dcterms:modified>
</cp:coreProperties>
</file>