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8 เดือน\2\"/>
    </mc:Choice>
  </mc:AlternateContent>
  <bookViews>
    <workbookView xWindow="0" yWindow="0" windowWidth="24000" windowHeight="9420"/>
  </bookViews>
  <sheets>
    <sheet name="2.5.1" sheetId="1" r:id="rId1"/>
    <sheet name="รายละเอียด 2.5.1" sheetId="2" r:id="rId2"/>
  </sheets>
  <externalReferences>
    <externalReference r:id="rId3"/>
    <externalReference r:id="rId4"/>
  </externalReferences>
  <definedNames>
    <definedName name="_xlnm._FilterDatabase" localSheetId="1" hidden="1">'รายละเอียด 2.5.1'!$A$1:$M$2068</definedName>
    <definedName name="REF_CURR_LANG" localSheetId="1">#REF!</definedName>
    <definedName name="REF_CURR_LANG">#REF!</definedName>
    <definedName name="REF_UNIV" localSheetId="1">#REF!</definedName>
    <definedName name="REF_UNIV">#REF!</definedName>
    <definedName name="rr" localSheetId="1">#REF!</definedName>
    <definedName name="rr">#REF!</definedName>
    <definedName name="คณะ">[2]Name!$A$2:$A$12</definedName>
    <definedName name="โครงการ">[2]Name!$A$16:$A$17</definedName>
    <definedName name="ฟ">#REF!</definedName>
    <definedName name="หน่วยงาน" localSheetId="1">#REF!</definedName>
    <definedName name="หน่วยงาน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92" i="2" l="1"/>
  <c r="K2091" i="2"/>
  <c r="K2090" i="2"/>
  <c r="K2089" i="2"/>
  <c r="K2093" i="2" s="1"/>
  <c r="K2084" i="2"/>
  <c r="K2083" i="2"/>
  <c r="K2085" i="2" s="1"/>
  <c r="K2082" i="2"/>
  <c r="K2081" i="2"/>
  <c r="K2080" i="2"/>
  <c r="K2078" i="2"/>
  <c r="K2077" i="2"/>
  <c r="K2076" i="2"/>
  <c r="K2075" i="2"/>
  <c r="K2079" i="2" s="1"/>
  <c r="K2074" i="2"/>
  <c r="K2072" i="2"/>
  <c r="K2071" i="2"/>
  <c r="K2070" i="2"/>
  <c r="K2069" i="2"/>
  <c r="K2068" i="2"/>
  <c r="K2073" i="2" s="1"/>
  <c r="K2067" i="2"/>
  <c r="K2066" i="2"/>
  <c r="K2065" i="2"/>
  <c r="K2064" i="2"/>
  <c r="K2063" i="2"/>
  <c r="K2062" i="2"/>
  <c r="K2060" i="2"/>
  <c r="K2059" i="2"/>
  <c r="K2061" i="2" s="1"/>
  <c r="K2058" i="2"/>
  <c r="K2057" i="2"/>
  <c r="K2056" i="2"/>
  <c r="K2054" i="2"/>
  <c r="K2053" i="2"/>
  <c r="K2052" i="2"/>
  <c r="K2051" i="2"/>
  <c r="K2055" i="2" s="1"/>
  <c r="K2050" i="2"/>
  <c r="K2048" i="2"/>
  <c r="K2047" i="2"/>
  <c r="K2046" i="2"/>
  <c r="K2045" i="2"/>
  <c r="K2044" i="2"/>
  <c r="K2049" i="2" s="1"/>
  <c r="K2043" i="2"/>
  <c r="K2042" i="2"/>
  <c r="K2041" i="2"/>
  <c r="K2040" i="2"/>
  <c r="K2039" i="2"/>
  <c r="K2038" i="2"/>
  <c r="K2036" i="2"/>
  <c r="K2035" i="2"/>
  <c r="K2037" i="2" s="1"/>
  <c r="K2033" i="2"/>
  <c r="K2034" i="2" s="1"/>
  <c r="K2032" i="2"/>
  <c r="K2030" i="2"/>
  <c r="K2029" i="2"/>
  <c r="K2031" i="2" s="1"/>
  <c r="K2028" i="2"/>
  <c r="K2027" i="2"/>
  <c r="K2026" i="2"/>
  <c r="K2025" i="2"/>
  <c r="K2024" i="2"/>
  <c r="K2022" i="2"/>
  <c r="K2021" i="2"/>
  <c r="K2020" i="2"/>
  <c r="K2019" i="2"/>
  <c r="K2023" i="2" s="1"/>
  <c r="K2018" i="2"/>
  <c r="K2016" i="2"/>
  <c r="K2015" i="2"/>
  <c r="K2014" i="2"/>
  <c r="K2017" i="2" s="1"/>
  <c r="K2012" i="2"/>
  <c r="K2011" i="2"/>
  <c r="K2013" i="2" s="1"/>
  <c r="K2010" i="2"/>
  <c r="K2009" i="2"/>
  <c r="K2008" i="2"/>
  <c r="K2006" i="2"/>
  <c r="K2005" i="2"/>
  <c r="K2004" i="2"/>
  <c r="K2003" i="2"/>
  <c r="K2007" i="2" s="1"/>
  <c r="K2002" i="2"/>
  <c r="K2000" i="2"/>
  <c r="K1999" i="2"/>
  <c r="K1998" i="2"/>
  <c r="K1997" i="2"/>
  <c r="K1996" i="2"/>
  <c r="K2001" i="2" s="1"/>
  <c r="K1995" i="2"/>
  <c r="K1994" i="2"/>
  <c r="K1993" i="2"/>
  <c r="K1992" i="2"/>
  <c r="K1991" i="2"/>
  <c r="K1989" i="2"/>
  <c r="K1988" i="2"/>
  <c r="K1987" i="2"/>
  <c r="K1990" i="2" s="1"/>
  <c r="K1985" i="2"/>
  <c r="K1984" i="2"/>
  <c r="K1983" i="2"/>
  <c r="K1982" i="2"/>
  <c r="K1986" i="2" s="1"/>
  <c r="K1979" i="2"/>
  <c r="K1978" i="2"/>
  <c r="K1980" i="2" s="1"/>
  <c r="K1977" i="2"/>
  <c r="K1976" i="2"/>
  <c r="K1975" i="2"/>
  <c r="K1973" i="2"/>
  <c r="K1972" i="2"/>
  <c r="K1971" i="2"/>
  <c r="K1970" i="2"/>
  <c r="K1974" i="2" s="1"/>
  <c r="K1969" i="2"/>
  <c r="K1968" i="2"/>
  <c r="K1967" i="2"/>
  <c r="K1965" i="2"/>
  <c r="K1964" i="2"/>
  <c r="K1966" i="2" s="1"/>
  <c r="K1963" i="2"/>
  <c r="K1962" i="2"/>
  <c r="K1961" i="2"/>
  <c r="K1959" i="2"/>
  <c r="K1958" i="2"/>
  <c r="K1957" i="2"/>
  <c r="K1956" i="2"/>
  <c r="K1960" i="2" s="1"/>
  <c r="K1952" i="2"/>
  <c r="K1951" i="2"/>
  <c r="K1950" i="2"/>
  <c r="K1949" i="2"/>
  <c r="K1948" i="2"/>
  <c r="K1947" i="2"/>
  <c r="K1946" i="2"/>
  <c r="K1945" i="2"/>
  <c r="K1943" i="2"/>
  <c r="K1942" i="2"/>
  <c r="K1941" i="2"/>
  <c r="K1940" i="2"/>
  <c r="K1939" i="2"/>
  <c r="K1938" i="2"/>
  <c r="K1937" i="2"/>
  <c r="K1936" i="2"/>
  <c r="K1935" i="2"/>
  <c r="K1934" i="2"/>
  <c r="K1933" i="2"/>
  <c r="K1932" i="2"/>
  <c r="K1931" i="2"/>
  <c r="K1930" i="2"/>
  <c r="K1929" i="2"/>
  <c r="K1928" i="2"/>
  <c r="K1944" i="2" s="1"/>
  <c r="K1927" i="2"/>
  <c r="K1926" i="2"/>
  <c r="K1925" i="2"/>
  <c r="K1924" i="2"/>
  <c r="K1922" i="2"/>
  <c r="K1921" i="2"/>
  <c r="K1923" i="2" s="1"/>
  <c r="K1920" i="2"/>
  <c r="K1919" i="2"/>
  <c r="K1918" i="2"/>
  <c r="K1917" i="2"/>
  <c r="K1915" i="2"/>
  <c r="K1914" i="2"/>
  <c r="K1913" i="2"/>
  <c r="K1916" i="2" s="1"/>
  <c r="K1912" i="2"/>
  <c r="K1911" i="2"/>
  <c r="K1910" i="2"/>
  <c r="K1909" i="2"/>
  <c r="K1907" i="2"/>
  <c r="K1906" i="2"/>
  <c r="K1905" i="2"/>
  <c r="K1908" i="2" s="1"/>
  <c r="K1904" i="2"/>
  <c r="K1903" i="2"/>
  <c r="K1902" i="2"/>
  <c r="K1901" i="2"/>
  <c r="K1899" i="2"/>
  <c r="K1898" i="2"/>
  <c r="K1897" i="2"/>
  <c r="K1900" i="2" s="1"/>
  <c r="K1896" i="2"/>
  <c r="K1895" i="2"/>
  <c r="K1894" i="2"/>
  <c r="K1893" i="2"/>
  <c r="K1891" i="2"/>
  <c r="K1890" i="2"/>
  <c r="K1889" i="2"/>
  <c r="K1892" i="2" s="1"/>
  <c r="K1888" i="2"/>
  <c r="K1887" i="2"/>
  <c r="K1886" i="2"/>
  <c r="K1884" i="2"/>
  <c r="K1885" i="2" s="1"/>
  <c r="K1883" i="2"/>
  <c r="K1880" i="2"/>
  <c r="K1879" i="2"/>
  <c r="K1878" i="2"/>
  <c r="K1881" i="2" s="1"/>
  <c r="K1876" i="2"/>
  <c r="K1875" i="2"/>
  <c r="K1877" i="2" s="1"/>
  <c r="K1871" i="2"/>
  <c r="K1870" i="2"/>
  <c r="K1872" i="2" s="1"/>
  <c r="K1869" i="2"/>
  <c r="K1868" i="2"/>
  <c r="K1867" i="2"/>
  <c r="K1866" i="2"/>
  <c r="K1865" i="2"/>
  <c r="K1863" i="2"/>
  <c r="K1862" i="2"/>
  <c r="K1861" i="2"/>
  <c r="K1860" i="2"/>
  <c r="K1864" i="2" s="1"/>
  <c r="K1859" i="2"/>
  <c r="K1857" i="2"/>
  <c r="K1856" i="2"/>
  <c r="K1855" i="2"/>
  <c r="K1854" i="2"/>
  <c r="K1858" i="2" s="1"/>
  <c r="K1853" i="2"/>
  <c r="K1852" i="2"/>
  <c r="K1851" i="2"/>
  <c r="K1850" i="2"/>
  <c r="K1848" i="2"/>
  <c r="K1847" i="2"/>
  <c r="K1846" i="2"/>
  <c r="K1845" i="2"/>
  <c r="K1844" i="2"/>
  <c r="K1849" i="2" s="1"/>
  <c r="K1843" i="2"/>
  <c r="K1841" i="2"/>
  <c r="K1840" i="2"/>
  <c r="K1839" i="2"/>
  <c r="K1842" i="2" s="1"/>
  <c r="K1837" i="2"/>
  <c r="K1836" i="2"/>
  <c r="K1838" i="2" s="1"/>
  <c r="K1835" i="2"/>
  <c r="K1833" i="2"/>
  <c r="K1832" i="2"/>
  <c r="K1831" i="2"/>
  <c r="K1830" i="2"/>
  <c r="K1834" i="2" s="1"/>
  <c r="K1829" i="2"/>
  <c r="K1828" i="2"/>
  <c r="K1827" i="2"/>
  <c r="K1826" i="2"/>
  <c r="K1824" i="2"/>
  <c r="K1823" i="2"/>
  <c r="K1822" i="2"/>
  <c r="K1825" i="2" s="1"/>
  <c r="K1821" i="2"/>
  <c r="K1820" i="2"/>
  <c r="K1819" i="2"/>
  <c r="K1818" i="2"/>
  <c r="K1817" i="2"/>
  <c r="K1815" i="2"/>
  <c r="K1814" i="2"/>
  <c r="K1813" i="2"/>
  <c r="K1811" i="2"/>
  <c r="K1810" i="2"/>
  <c r="K1809" i="2"/>
  <c r="K1807" i="2"/>
  <c r="K1806" i="2"/>
  <c r="K1805" i="2"/>
  <c r="K1804" i="2"/>
  <c r="K1803" i="2"/>
  <c r="K1794" i="2"/>
  <c r="K1787" i="2"/>
  <c r="K1786" i="2"/>
  <c r="K1785" i="2"/>
  <c r="K1784" i="2"/>
  <c r="K1783" i="2"/>
  <c r="K1782" i="2"/>
  <c r="K1780" i="2"/>
  <c r="K1779" i="2"/>
  <c r="K1781" i="2" s="1"/>
  <c r="K1778" i="2"/>
  <c r="K1777" i="2"/>
  <c r="K1775" i="2"/>
  <c r="K1774" i="2"/>
  <c r="K1776" i="2" s="1"/>
  <c r="K1772" i="2"/>
  <c r="K1771" i="2"/>
  <c r="K1773" i="2" s="1"/>
  <c r="K1769" i="2"/>
  <c r="K1768" i="2"/>
  <c r="K1767" i="2"/>
  <c r="K1766" i="2"/>
  <c r="K1770" i="2" s="1"/>
  <c r="K1762" i="2"/>
  <c r="K1761" i="2"/>
  <c r="K1759" i="2"/>
  <c r="K1758" i="2"/>
  <c r="K1757" i="2"/>
  <c r="K1755" i="2"/>
  <c r="K1754" i="2"/>
  <c r="K1753" i="2"/>
  <c r="K1752" i="2"/>
  <c r="K1751" i="2"/>
  <c r="K1756" i="2" s="1"/>
  <c r="K1750" i="2"/>
  <c r="K1748" i="2"/>
  <c r="K1747" i="2"/>
  <c r="K1746" i="2"/>
  <c r="K1745" i="2"/>
  <c r="K1744" i="2"/>
  <c r="K1743" i="2"/>
  <c r="K1749" i="2" s="1"/>
  <c r="K1741" i="2"/>
  <c r="K1740" i="2"/>
  <c r="K1739" i="2"/>
  <c r="K1738" i="2"/>
  <c r="K1742" i="2" s="1"/>
  <c r="K1736" i="2"/>
  <c r="K1735" i="2"/>
  <c r="K1737" i="2" s="1"/>
  <c r="K1734" i="2"/>
  <c r="K1733" i="2"/>
  <c r="K1731" i="2"/>
  <c r="K1730" i="2"/>
  <c r="K1729" i="2"/>
  <c r="K1728" i="2"/>
  <c r="K1727" i="2"/>
  <c r="K1732" i="2" s="1"/>
  <c r="K1726" i="2"/>
  <c r="K1724" i="2"/>
  <c r="K1725" i="2" s="1"/>
  <c r="K1723" i="2"/>
  <c r="K1721" i="2"/>
  <c r="K1720" i="2"/>
  <c r="K1719" i="2"/>
  <c r="K1722" i="2" s="1"/>
  <c r="K1718" i="2"/>
  <c r="K1717" i="2"/>
  <c r="K1716" i="2"/>
  <c r="K1714" i="2"/>
  <c r="K1713" i="2"/>
  <c r="K1712" i="2"/>
  <c r="K1711" i="2"/>
  <c r="K1710" i="2"/>
  <c r="K1709" i="2"/>
  <c r="K1708" i="2"/>
  <c r="K1715" i="2" s="1"/>
  <c r="K1706" i="2"/>
  <c r="K1705" i="2"/>
  <c r="K1704" i="2"/>
  <c r="K1703" i="2"/>
  <c r="K1707" i="2" s="1"/>
  <c r="K1701" i="2"/>
  <c r="K1700" i="2"/>
  <c r="K1702" i="2" s="1"/>
  <c r="K1698" i="2"/>
  <c r="K1697" i="2"/>
  <c r="K1699" i="2" s="1"/>
  <c r="K1696" i="2"/>
  <c r="K1695" i="2"/>
  <c r="K1694" i="2"/>
  <c r="K1693" i="2"/>
  <c r="K1692" i="2"/>
  <c r="K1691" i="2"/>
  <c r="K1690" i="2"/>
  <c r="K1688" i="2"/>
  <c r="K1687" i="2"/>
  <c r="K1686" i="2"/>
  <c r="K1685" i="2"/>
  <c r="K1684" i="2"/>
  <c r="K1683" i="2"/>
  <c r="K1682" i="2"/>
  <c r="K1689" i="2" s="1"/>
  <c r="K1680" i="2"/>
  <c r="K1679" i="2"/>
  <c r="K1681" i="2" s="1"/>
  <c r="K1678" i="2"/>
  <c r="K1677" i="2"/>
  <c r="K1676" i="2"/>
  <c r="K1674" i="2"/>
  <c r="K1673" i="2"/>
  <c r="K1672" i="2"/>
  <c r="K1671" i="2"/>
  <c r="K1675" i="2" s="1"/>
  <c r="K1670" i="2"/>
  <c r="K1669" i="2"/>
  <c r="K1668" i="2"/>
  <c r="K1666" i="2"/>
  <c r="K1665" i="2"/>
  <c r="K1664" i="2"/>
  <c r="K1667" i="2" s="1"/>
  <c r="K1662" i="2"/>
  <c r="K1661" i="2"/>
  <c r="K1660" i="2"/>
  <c r="K1659" i="2"/>
  <c r="K1658" i="2"/>
  <c r="K1657" i="2"/>
  <c r="K1656" i="2"/>
  <c r="K1663" i="2" s="1"/>
  <c r="K1655" i="2"/>
  <c r="K1654" i="2"/>
  <c r="K1653" i="2"/>
  <c r="K1652" i="2"/>
  <c r="K1650" i="2"/>
  <c r="K1649" i="2"/>
  <c r="K1648" i="2"/>
  <c r="K1647" i="2"/>
  <c r="K1651" i="2" s="1"/>
  <c r="K1643" i="2"/>
  <c r="K1642" i="2"/>
  <c r="K1641" i="2"/>
  <c r="K1640" i="2"/>
  <c r="K1644" i="2" s="1"/>
  <c r="K1638" i="2"/>
  <c r="K1637" i="2"/>
  <c r="K1639" i="2" s="1"/>
  <c r="K1636" i="2"/>
  <c r="K1635" i="2"/>
  <c r="K1633" i="2"/>
  <c r="K1632" i="2"/>
  <c r="K1631" i="2"/>
  <c r="K1634" i="2" s="1"/>
  <c r="K1630" i="2"/>
  <c r="K1629" i="2"/>
  <c r="K1628" i="2"/>
  <c r="K1627" i="2"/>
  <c r="K1626" i="2"/>
  <c r="K1624" i="2"/>
  <c r="K1623" i="2"/>
  <c r="K1622" i="2"/>
  <c r="K1625" i="2" s="1"/>
  <c r="K1621" i="2"/>
  <c r="K1620" i="2"/>
  <c r="K1619" i="2"/>
  <c r="K1618" i="2"/>
  <c r="K1617" i="2"/>
  <c r="K1615" i="2"/>
  <c r="K1614" i="2"/>
  <c r="K1616" i="2" s="1"/>
  <c r="K1612" i="2"/>
  <c r="K1611" i="2"/>
  <c r="K1610" i="2"/>
  <c r="K1609" i="2"/>
  <c r="K1607" i="2"/>
  <c r="K1606" i="2"/>
  <c r="K1605" i="2"/>
  <c r="K1604" i="2"/>
  <c r="K1608" i="2" s="1"/>
  <c r="K1602" i="2"/>
  <c r="K1601" i="2"/>
  <c r="K1600" i="2"/>
  <c r="K1603" i="2" s="1"/>
  <c r="K1598" i="2"/>
  <c r="K1597" i="2"/>
  <c r="K1596" i="2"/>
  <c r="K1599" i="2" s="1"/>
  <c r="K1595" i="2"/>
  <c r="K1594" i="2"/>
  <c r="K1593" i="2"/>
  <c r="K1592" i="2"/>
  <c r="K1590" i="2"/>
  <c r="K1589" i="2"/>
  <c r="K1588" i="2"/>
  <c r="K1591" i="2" s="1"/>
  <c r="K1577" i="2"/>
  <c r="K1576" i="2"/>
  <c r="K1575" i="2"/>
  <c r="K1574" i="2"/>
  <c r="K1573" i="2"/>
  <c r="K1572" i="2"/>
  <c r="K1571" i="2"/>
  <c r="K1569" i="2"/>
  <c r="K1568" i="2"/>
  <c r="K1567" i="2"/>
  <c r="K1566" i="2"/>
  <c r="K1565" i="2"/>
  <c r="K1564" i="2"/>
  <c r="K1563" i="2"/>
  <c r="K1561" i="2"/>
  <c r="K1560" i="2"/>
  <c r="K1559" i="2"/>
  <c r="K1558" i="2"/>
  <c r="K1557" i="2"/>
  <c r="K1556" i="2"/>
  <c r="K1554" i="2"/>
  <c r="K1553" i="2"/>
  <c r="K1552" i="2"/>
  <c r="K1551" i="2"/>
  <c r="K1550" i="2"/>
  <c r="K1549" i="2"/>
  <c r="K1548" i="2"/>
  <c r="K1547" i="2"/>
  <c r="K1546" i="2"/>
  <c r="K1545" i="2"/>
  <c r="K1544" i="2"/>
  <c r="K1543" i="2"/>
  <c r="K1541" i="2"/>
  <c r="K1540" i="2"/>
  <c r="K1539" i="2"/>
  <c r="K1538" i="2"/>
  <c r="K1537" i="2"/>
  <c r="K1535" i="2"/>
  <c r="K1534" i="2"/>
  <c r="K1533" i="2"/>
  <c r="K1532" i="2"/>
  <c r="K1531" i="2"/>
  <c r="K1530" i="2"/>
  <c r="K1529" i="2"/>
  <c r="K1528" i="2"/>
  <c r="K1527" i="2"/>
  <c r="K1526" i="2"/>
  <c r="K1525" i="2"/>
  <c r="K1524" i="2"/>
  <c r="K1523" i="2"/>
  <c r="K1536" i="2" s="1"/>
  <c r="K1521" i="2"/>
  <c r="K1520" i="2"/>
  <c r="K1519" i="2"/>
  <c r="K1518" i="2"/>
  <c r="K1517" i="2"/>
  <c r="K1516" i="2"/>
  <c r="K1515" i="2"/>
  <c r="K1514" i="2"/>
  <c r="K1513" i="2"/>
  <c r="K1512" i="2"/>
  <c r="K1522" i="2" s="1"/>
  <c r="K1510" i="2"/>
  <c r="K1509" i="2"/>
  <c r="K1508" i="2"/>
  <c r="K1507" i="2"/>
  <c r="K1506" i="2"/>
  <c r="K1505" i="2"/>
  <c r="K1504" i="2"/>
  <c r="K1503" i="2"/>
  <c r="K1511" i="2" s="1"/>
  <c r="K1502" i="2"/>
  <c r="K1501" i="2"/>
  <c r="K1500" i="2"/>
  <c r="K1499" i="2"/>
  <c r="K1498" i="2"/>
  <c r="K1496" i="2"/>
  <c r="K1495" i="2"/>
  <c r="K1494" i="2"/>
  <c r="K1497" i="2" s="1"/>
  <c r="K1493" i="2"/>
  <c r="K1492" i="2"/>
  <c r="K1491" i="2"/>
  <c r="K1489" i="2"/>
  <c r="K1490" i="2" s="1"/>
  <c r="K1488" i="2"/>
  <c r="K1487" i="2"/>
  <c r="K1486" i="2"/>
  <c r="K1485" i="2"/>
  <c r="K1484" i="2"/>
  <c r="K1483" i="2"/>
  <c r="K1482" i="2"/>
  <c r="K1481" i="2"/>
  <c r="K1480" i="2"/>
  <c r="K1479" i="2"/>
  <c r="K1478" i="2"/>
  <c r="K1477" i="2"/>
  <c r="K1475" i="2"/>
  <c r="K1474" i="2"/>
  <c r="K1473" i="2"/>
  <c r="K1476" i="2" s="1"/>
  <c r="K1471" i="2"/>
  <c r="K1470" i="2"/>
  <c r="K1469" i="2"/>
  <c r="K1468" i="2"/>
  <c r="K1467" i="2"/>
  <c r="K1466" i="2"/>
  <c r="K1472" i="2" s="1"/>
  <c r="K1464" i="2"/>
  <c r="K1463" i="2"/>
  <c r="K1462" i="2"/>
  <c r="K1465" i="2" s="1"/>
  <c r="K1460" i="2"/>
  <c r="K1459" i="2"/>
  <c r="K1458" i="2"/>
  <c r="K1457" i="2"/>
  <c r="K1456" i="2"/>
  <c r="K1455" i="2"/>
  <c r="K1461" i="2" s="1"/>
  <c r="K1454" i="2"/>
  <c r="K1453" i="2"/>
  <c r="K1452" i="2"/>
  <c r="K1451" i="2"/>
  <c r="K1450" i="2"/>
  <c r="K1449" i="2"/>
  <c r="K1447" i="2"/>
  <c r="K1446" i="2"/>
  <c r="K1448" i="2" s="1"/>
  <c r="K1445" i="2"/>
  <c r="K1444" i="2"/>
  <c r="K1442" i="2"/>
  <c r="K1441" i="2"/>
  <c r="K1440" i="2"/>
  <c r="K1439" i="2"/>
  <c r="K1443" i="2" s="1"/>
  <c r="K1438" i="2"/>
  <c r="K1437" i="2"/>
  <c r="K1436" i="2"/>
  <c r="K1434" i="2"/>
  <c r="K1433" i="2"/>
  <c r="K1432" i="2"/>
  <c r="K1435" i="2" s="1"/>
  <c r="K1431" i="2"/>
  <c r="K1430" i="2"/>
  <c r="K1429" i="2"/>
  <c r="K1428" i="2"/>
  <c r="K1427" i="2"/>
  <c r="K1426" i="2"/>
  <c r="K1425" i="2"/>
  <c r="K1424" i="2"/>
  <c r="K1423" i="2"/>
  <c r="K1422" i="2"/>
  <c r="K1421" i="2"/>
  <c r="K1420" i="2"/>
  <c r="K1419" i="2"/>
  <c r="K1417" i="2"/>
  <c r="K1416" i="2"/>
  <c r="K1415" i="2"/>
  <c r="K1414" i="2"/>
  <c r="K1418" i="2" s="1"/>
  <c r="K1413" i="2"/>
  <c r="K1412" i="2"/>
  <c r="K1410" i="2"/>
  <c r="K1409" i="2"/>
  <c r="K1408" i="2"/>
  <c r="K1407" i="2"/>
  <c r="K1406" i="2"/>
  <c r="K1411" i="2" s="1"/>
  <c r="K1405" i="2"/>
  <c r="K1403" i="2"/>
  <c r="K1402" i="2"/>
  <c r="K1401" i="2"/>
  <c r="K1400" i="2"/>
  <c r="K1399" i="2"/>
  <c r="K1398" i="2"/>
  <c r="K1404" i="2" s="1"/>
  <c r="K1396" i="2"/>
  <c r="K1395" i="2"/>
  <c r="K1394" i="2"/>
  <c r="K1393" i="2"/>
  <c r="K1397" i="2" s="1"/>
  <c r="K1391" i="2"/>
  <c r="K1390" i="2"/>
  <c r="K1392" i="2" s="1"/>
  <c r="K1389" i="2"/>
  <c r="K1388" i="2"/>
  <c r="K1386" i="2"/>
  <c r="K1385" i="2"/>
  <c r="K1384" i="2"/>
  <c r="K1383" i="2"/>
  <c r="K1387" i="2" s="1"/>
  <c r="K1382" i="2"/>
  <c r="K1381" i="2"/>
  <c r="K1380" i="2"/>
  <c r="K1379" i="2"/>
  <c r="K1378" i="2"/>
  <c r="K1374" i="2"/>
  <c r="K1373" i="2"/>
  <c r="K1372" i="2"/>
  <c r="K1371" i="2"/>
  <c r="K1369" i="2"/>
  <c r="K1368" i="2"/>
  <c r="K1367" i="2"/>
  <c r="K1366" i="2"/>
  <c r="K1365" i="2"/>
  <c r="K1364" i="2"/>
  <c r="K1362" i="2"/>
  <c r="K1361" i="2"/>
  <c r="K1360" i="2"/>
  <c r="K1359" i="2"/>
  <c r="K1358" i="2"/>
  <c r="K1356" i="2"/>
  <c r="K1355" i="2"/>
  <c r="K1354" i="2"/>
  <c r="K1353" i="2"/>
  <c r="K1352" i="2"/>
  <c r="K1351" i="2"/>
  <c r="K1349" i="2"/>
  <c r="K1348" i="2"/>
  <c r="K1350" i="2" s="1"/>
  <c r="K1346" i="2"/>
  <c r="K1345" i="2"/>
  <c r="K1347" i="2" s="1"/>
  <c r="K1344" i="2"/>
  <c r="K1343" i="2"/>
  <c r="K1342" i="2"/>
  <c r="K1338" i="2"/>
  <c r="K1337" i="2"/>
  <c r="K1339" i="2" s="1"/>
  <c r="K1335" i="2"/>
  <c r="K1334" i="2"/>
  <c r="K1336" i="2" s="1"/>
  <c r="K1332" i="2"/>
  <c r="K1331" i="2"/>
  <c r="K1333" i="2" s="1"/>
  <c r="K1329" i="2"/>
  <c r="K1328" i="2"/>
  <c r="K1327" i="2"/>
  <c r="K1326" i="2"/>
  <c r="K1325" i="2"/>
  <c r="K1324" i="2"/>
  <c r="K1323" i="2"/>
  <c r="K1322" i="2"/>
  <c r="K1330" i="2" s="1"/>
  <c r="K1320" i="2"/>
  <c r="K1319" i="2"/>
  <c r="K1318" i="2"/>
  <c r="K1317" i="2"/>
  <c r="K1316" i="2"/>
  <c r="K1315" i="2"/>
  <c r="K1314" i="2"/>
  <c r="K1313" i="2"/>
  <c r="K1321" i="2" s="1"/>
  <c r="K1311" i="2"/>
  <c r="K1310" i="2"/>
  <c r="K1312" i="2" s="1"/>
  <c r="K1309" i="2"/>
  <c r="K1307" i="2"/>
  <c r="K1306" i="2"/>
  <c r="K1305" i="2"/>
  <c r="K1308" i="2" s="1"/>
  <c r="K1303" i="2"/>
  <c r="K1302" i="2"/>
  <c r="K1304" i="2" s="1"/>
  <c r="K1301" i="2"/>
  <c r="K1300" i="2"/>
  <c r="K1299" i="2"/>
  <c r="K1297" i="2"/>
  <c r="K1296" i="2"/>
  <c r="K1295" i="2"/>
  <c r="K1294" i="2"/>
  <c r="K1298" i="2" s="1"/>
  <c r="K1293" i="2"/>
  <c r="K1292" i="2"/>
  <c r="K1291" i="2"/>
  <c r="K1289" i="2"/>
  <c r="K1288" i="2"/>
  <c r="K1287" i="2"/>
  <c r="K1286" i="2"/>
  <c r="K1290" i="2" s="1"/>
  <c r="K1284" i="2"/>
  <c r="K1283" i="2"/>
  <c r="K1282" i="2"/>
  <c r="K1285" i="2" s="1"/>
  <c r="K1280" i="2"/>
  <c r="K1279" i="2"/>
  <c r="K1278" i="2"/>
  <c r="K1281" i="2" s="1"/>
  <c r="K1276" i="2"/>
  <c r="K1275" i="2"/>
  <c r="K1274" i="2"/>
  <c r="K1277" i="2" s="1"/>
  <c r="K1272" i="2"/>
  <c r="K1271" i="2"/>
  <c r="K1270" i="2"/>
  <c r="K1273" i="2" s="1"/>
  <c r="K1265" i="2"/>
  <c r="K1264" i="2"/>
  <c r="K1263" i="2"/>
  <c r="K1262" i="2"/>
  <c r="K1261" i="2"/>
  <c r="K1260" i="2"/>
  <c r="K1259" i="2"/>
  <c r="K1257" i="2"/>
  <c r="K1256" i="2"/>
  <c r="K1255" i="2"/>
  <c r="K1253" i="2"/>
  <c r="K1252" i="2"/>
  <c r="K1251" i="2"/>
  <c r="K1249" i="2"/>
  <c r="K1248" i="2"/>
  <c r="K1247" i="2"/>
  <c r="K1246" i="2"/>
  <c r="K1245" i="2"/>
  <c r="K1244" i="2"/>
  <c r="K1243" i="2"/>
  <c r="K1242" i="2"/>
  <c r="K1238" i="2"/>
  <c r="K1237" i="2"/>
  <c r="K1236" i="2"/>
  <c r="K1235" i="2"/>
  <c r="K1234" i="2"/>
  <c r="K1233" i="2"/>
  <c r="K1232" i="2"/>
  <c r="K1231" i="2"/>
  <c r="K1239" i="2" s="1"/>
  <c r="K1230" i="2"/>
  <c r="K1229" i="2"/>
  <c r="K1228" i="2"/>
  <c r="K1227" i="2"/>
  <c r="K1226" i="2"/>
  <c r="K1224" i="2"/>
  <c r="K1223" i="2"/>
  <c r="K1222" i="2"/>
  <c r="K1221" i="2"/>
  <c r="K1225" i="2" s="1"/>
  <c r="K1219" i="2"/>
  <c r="K1218" i="2"/>
  <c r="K1217" i="2"/>
  <c r="K1216" i="2"/>
  <c r="K1220" i="2" s="1"/>
  <c r="K1214" i="2"/>
  <c r="K1213" i="2"/>
  <c r="K1215" i="2" s="1"/>
  <c r="K1212" i="2"/>
  <c r="K1210" i="2"/>
  <c r="K1209" i="2"/>
  <c r="K1208" i="2"/>
  <c r="K1211" i="2" s="1"/>
  <c r="K1206" i="2"/>
  <c r="K1205" i="2"/>
  <c r="K1207" i="2" s="1"/>
  <c r="K1201" i="2"/>
  <c r="K1200" i="2"/>
  <c r="K1199" i="2"/>
  <c r="K1198" i="2"/>
  <c r="K1202" i="2" s="1"/>
  <c r="K1196" i="2"/>
  <c r="K1195" i="2"/>
  <c r="K1197" i="2" s="1"/>
  <c r="K1194" i="2"/>
  <c r="K1193" i="2"/>
  <c r="K1192" i="2"/>
  <c r="K1191" i="2"/>
  <c r="K1189" i="2"/>
  <c r="K1188" i="2"/>
  <c r="K1190" i="2" s="1"/>
  <c r="K1186" i="2"/>
  <c r="K1185" i="2"/>
  <c r="K1184" i="2"/>
  <c r="K1183" i="2"/>
  <c r="K1182" i="2"/>
  <c r="K1181" i="2"/>
  <c r="K1180" i="2"/>
  <c r="K1176" i="2"/>
  <c r="K1175" i="2"/>
  <c r="K1174" i="2"/>
  <c r="K1173" i="2"/>
  <c r="K1171" i="2"/>
  <c r="K1170" i="2"/>
  <c r="K1169" i="2"/>
  <c r="K1168" i="2"/>
  <c r="K1172" i="2" s="1"/>
  <c r="K1167" i="2"/>
  <c r="K1166" i="2"/>
  <c r="K1165" i="2"/>
  <c r="K1164" i="2"/>
  <c r="K1163" i="2"/>
  <c r="K1161" i="2"/>
  <c r="K1160" i="2"/>
  <c r="K1159" i="2"/>
  <c r="K1162" i="2" s="1"/>
  <c r="K1158" i="2"/>
  <c r="K1156" i="2"/>
  <c r="K1155" i="2"/>
  <c r="K1154" i="2"/>
  <c r="K1153" i="2"/>
  <c r="K1152" i="2"/>
  <c r="K1151" i="2"/>
  <c r="K1150" i="2"/>
  <c r="K1149" i="2"/>
  <c r="K1157" i="2" s="1"/>
  <c r="K1147" i="2"/>
  <c r="K1146" i="2"/>
  <c r="K1145" i="2"/>
  <c r="K1144" i="2"/>
  <c r="K1143" i="2"/>
  <c r="K1148" i="2" s="1"/>
  <c r="K1142" i="2"/>
  <c r="K1140" i="2"/>
  <c r="K1141" i="2" s="1"/>
  <c r="K1139" i="2"/>
  <c r="K1137" i="2"/>
  <c r="K1136" i="2"/>
  <c r="K1135" i="2"/>
  <c r="K1138" i="2" s="1"/>
  <c r="K1134" i="2"/>
  <c r="K1133" i="2"/>
  <c r="K1131" i="2"/>
  <c r="K1130" i="2"/>
  <c r="K1129" i="2"/>
  <c r="K1128" i="2"/>
  <c r="K1132" i="2" s="1"/>
  <c r="K1126" i="2"/>
  <c r="K1125" i="2"/>
  <c r="K1124" i="2"/>
  <c r="K1123" i="2"/>
  <c r="K1122" i="2"/>
  <c r="K1121" i="2"/>
  <c r="K1120" i="2"/>
  <c r="K1127" i="2" s="1"/>
  <c r="K1118" i="2"/>
  <c r="K1117" i="2"/>
  <c r="K1116" i="2"/>
  <c r="K1115" i="2"/>
  <c r="K1114" i="2"/>
  <c r="K1113" i="2"/>
  <c r="K1112" i="2"/>
  <c r="K1119" i="2" s="1"/>
  <c r="K1110" i="2"/>
  <c r="K1109" i="2"/>
  <c r="K1108" i="2"/>
  <c r="K1107" i="2"/>
  <c r="K1106" i="2"/>
  <c r="K1105" i="2"/>
  <c r="K1104" i="2"/>
  <c r="K1111" i="2" s="1"/>
  <c r="K1103" i="2"/>
  <c r="K1102" i="2"/>
  <c r="K1101" i="2"/>
  <c r="K1100" i="2"/>
  <c r="K1099" i="2"/>
  <c r="K1098" i="2"/>
  <c r="K1097" i="2"/>
  <c r="K1095" i="2"/>
  <c r="K1094" i="2"/>
  <c r="K1093" i="2"/>
  <c r="K1092" i="2"/>
  <c r="K1091" i="2"/>
  <c r="K1089" i="2"/>
  <c r="K1088" i="2"/>
  <c r="K1087" i="2"/>
  <c r="K1090" i="2" s="1"/>
  <c r="K1085" i="2"/>
  <c r="K1084" i="2"/>
  <c r="K1083" i="2"/>
  <c r="K1081" i="2"/>
  <c r="K1080" i="2"/>
  <c r="K1079" i="2"/>
  <c r="K1078" i="2"/>
  <c r="K1077" i="2"/>
  <c r="K1076" i="2"/>
  <c r="K1075" i="2"/>
  <c r="K1073" i="2"/>
  <c r="K1072" i="2"/>
  <c r="K1071" i="2"/>
  <c r="K1070" i="2"/>
  <c r="K1069" i="2"/>
  <c r="K1068" i="2"/>
  <c r="K1067" i="2"/>
  <c r="K1065" i="2"/>
  <c r="K1064" i="2"/>
  <c r="K1063" i="2"/>
  <c r="K1062" i="2"/>
  <c r="K1060" i="2"/>
  <c r="K1059" i="2"/>
  <c r="K1058" i="2"/>
  <c r="K1057" i="2"/>
  <c r="K1056" i="2"/>
  <c r="K1055" i="2"/>
  <c r="K1053" i="2"/>
  <c r="K1052" i="2"/>
  <c r="K1051" i="2"/>
  <c r="K1050" i="2"/>
  <c r="K1048" i="2"/>
  <c r="K1047" i="2"/>
  <c r="K1046" i="2"/>
  <c r="K1045" i="2"/>
  <c r="K1044" i="2"/>
  <c r="K1042" i="2"/>
  <c r="K1041" i="2"/>
  <c r="K1040" i="2"/>
  <c r="K1039" i="2"/>
  <c r="K1038" i="2"/>
  <c r="K1036" i="2"/>
  <c r="K1035" i="2"/>
  <c r="K1034" i="2"/>
  <c r="K1033" i="2"/>
  <c r="K1031" i="2"/>
  <c r="K1030" i="2"/>
  <c r="K1029" i="2"/>
  <c r="K1028" i="2"/>
  <c r="K1026" i="2"/>
  <c r="K1025" i="2"/>
  <c r="K1024" i="2"/>
  <c r="K1022" i="2"/>
  <c r="K1021" i="2"/>
  <c r="K1015" i="2"/>
  <c r="K1014" i="2"/>
  <c r="K1012" i="2"/>
  <c r="K1011" i="2"/>
  <c r="K1010" i="2"/>
  <c r="K1009" i="2"/>
  <c r="K1007" i="2"/>
  <c r="K1006" i="2"/>
  <c r="K1005" i="2"/>
  <c r="K1004" i="2"/>
  <c r="K1003" i="2"/>
  <c r="K1002" i="2"/>
  <c r="K1001" i="2"/>
  <c r="K1000" i="2"/>
  <c r="K999" i="2"/>
  <c r="K997" i="2"/>
  <c r="K996" i="2"/>
  <c r="K995" i="2"/>
  <c r="K993" i="2"/>
  <c r="K992" i="2"/>
  <c r="K991" i="2"/>
  <c r="K990" i="2"/>
  <c r="K989" i="2"/>
  <c r="K987" i="2"/>
  <c r="K986" i="2"/>
  <c r="K985" i="2"/>
  <c r="K984" i="2"/>
  <c r="K983" i="2"/>
  <c r="K982" i="2"/>
  <c r="K981" i="2"/>
  <c r="K979" i="2"/>
  <c r="K978" i="2"/>
  <c r="K977" i="2"/>
  <c r="K976" i="2"/>
  <c r="K975" i="2"/>
  <c r="K974" i="2"/>
  <c r="K973" i="2"/>
  <c r="K972" i="2"/>
  <c r="K971" i="2"/>
  <c r="K969" i="2"/>
  <c r="K968" i="2"/>
  <c r="K970" i="2" s="1"/>
  <c r="K965" i="2"/>
  <c r="K964" i="2"/>
  <c r="K963" i="2"/>
  <c r="K962" i="2"/>
  <c r="K960" i="2"/>
  <c r="K959" i="2"/>
  <c r="K958" i="2"/>
  <c r="K955" i="2"/>
  <c r="K954" i="2"/>
  <c r="K953" i="2"/>
  <c r="K952" i="2"/>
  <c r="K951" i="2"/>
  <c r="K950" i="2"/>
  <c r="K949" i="2"/>
  <c r="K947" i="2"/>
  <c r="K946" i="2"/>
  <c r="K948" i="2" s="1"/>
  <c r="K945" i="2"/>
  <c r="K944" i="2"/>
  <c r="K943" i="2"/>
  <c r="K942" i="2"/>
  <c r="K940" i="2"/>
  <c r="K939" i="2"/>
  <c r="K938" i="2"/>
  <c r="K941" i="2" s="1"/>
  <c r="K937" i="2"/>
  <c r="K936" i="2"/>
  <c r="K935" i="2"/>
  <c r="K934" i="2"/>
  <c r="K933" i="2"/>
  <c r="K931" i="2"/>
  <c r="K930" i="2"/>
  <c r="K932" i="2" s="1"/>
  <c r="K929" i="2"/>
  <c r="K928" i="2"/>
  <c r="K921" i="2"/>
  <c r="K920" i="2"/>
  <c r="K919" i="2"/>
  <c r="K918" i="2"/>
  <c r="K917" i="2"/>
  <c r="K916" i="2"/>
  <c r="K922" i="2" s="1"/>
  <c r="K914" i="2"/>
  <c r="K915" i="2" s="1"/>
  <c r="K913" i="2"/>
  <c r="K908" i="2"/>
  <c r="K907" i="2"/>
  <c r="K906" i="2"/>
  <c r="K909" i="2" s="1"/>
  <c r="K905" i="2"/>
  <c r="K904" i="2"/>
  <c r="K903" i="2"/>
  <c r="K902" i="2"/>
  <c r="K900" i="2"/>
  <c r="K899" i="2"/>
  <c r="K901" i="2" s="1"/>
  <c r="K895" i="2"/>
  <c r="K894" i="2"/>
  <c r="K893" i="2"/>
  <c r="K892" i="2"/>
  <c r="K891" i="2"/>
  <c r="K890" i="2"/>
  <c r="K888" i="2"/>
  <c r="K887" i="2"/>
  <c r="K889" i="2" s="1"/>
  <c r="K886" i="2"/>
  <c r="K885" i="2"/>
  <c r="K881" i="2"/>
  <c r="K880" i="2"/>
  <c r="K879" i="2"/>
  <c r="K878" i="2"/>
  <c r="K882" i="2" s="1"/>
  <c r="K869" i="2"/>
  <c r="K868" i="2"/>
  <c r="K867" i="2"/>
  <c r="K865" i="2"/>
  <c r="K864" i="2"/>
  <c r="K863" i="2"/>
  <c r="K861" i="2"/>
  <c r="K860" i="2"/>
  <c r="K858" i="2"/>
  <c r="K857" i="2"/>
  <c r="K856" i="2"/>
  <c r="K854" i="2"/>
  <c r="K853" i="2"/>
  <c r="K852" i="2"/>
  <c r="K850" i="2"/>
  <c r="K849" i="2"/>
  <c r="K851" i="2" s="1"/>
  <c r="K842" i="2"/>
  <c r="K841" i="2"/>
  <c r="K840" i="2"/>
  <c r="K839" i="2"/>
  <c r="K838" i="2"/>
  <c r="K827" i="2"/>
  <c r="K826" i="2"/>
  <c r="K828" i="2" s="1"/>
  <c r="K825" i="2"/>
  <c r="K824" i="2"/>
  <c r="K823" i="2"/>
  <c r="K821" i="2"/>
  <c r="K820" i="2"/>
  <c r="K819" i="2"/>
  <c r="K818" i="2"/>
  <c r="K822" i="2" s="1"/>
  <c r="K816" i="2"/>
  <c r="K815" i="2"/>
  <c r="K817" i="2" s="1"/>
  <c r="K814" i="2"/>
  <c r="K813" i="2"/>
  <c r="K811" i="2"/>
  <c r="K810" i="2"/>
  <c r="K812" i="2" s="1"/>
  <c r="K809" i="2"/>
  <c r="K808" i="2"/>
  <c r="K806" i="2"/>
  <c r="K805" i="2"/>
  <c r="K804" i="2"/>
  <c r="K803" i="2"/>
  <c r="K807" i="2" s="1"/>
  <c r="K802" i="2"/>
  <c r="K801" i="2"/>
  <c r="K800" i="2"/>
  <c r="K799" i="2"/>
  <c r="K797" i="2"/>
  <c r="K796" i="2"/>
  <c r="K795" i="2"/>
  <c r="K798" i="2" s="1"/>
  <c r="K794" i="2"/>
  <c r="K793" i="2"/>
  <c r="K792" i="2"/>
  <c r="K791" i="2"/>
  <c r="K790" i="2"/>
  <c r="K788" i="2"/>
  <c r="K787" i="2"/>
  <c r="K786" i="2"/>
  <c r="K789" i="2" s="1"/>
  <c r="K785" i="2"/>
  <c r="K784" i="2"/>
  <c r="K783" i="2"/>
  <c r="K782" i="2"/>
  <c r="K780" i="2"/>
  <c r="K779" i="2"/>
  <c r="K778" i="2"/>
  <c r="K781" i="2" s="1"/>
  <c r="K777" i="2"/>
  <c r="K776" i="2"/>
  <c r="K775" i="2"/>
  <c r="K774" i="2"/>
  <c r="K771" i="2"/>
  <c r="K770" i="2"/>
  <c r="K769" i="2"/>
  <c r="K768" i="2"/>
  <c r="K772" i="2" s="1"/>
  <c r="K767" i="2"/>
  <c r="K766" i="2"/>
  <c r="K764" i="2"/>
  <c r="K763" i="2"/>
  <c r="K765" i="2" s="1"/>
  <c r="K758" i="2"/>
  <c r="K757" i="2"/>
  <c r="K756" i="2"/>
  <c r="K755" i="2"/>
  <c r="K754" i="2"/>
  <c r="K753" i="2"/>
  <c r="K751" i="2"/>
  <c r="K750" i="2"/>
  <c r="K749" i="2"/>
  <c r="K748" i="2"/>
  <c r="K747" i="2"/>
  <c r="K746" i="2"/>
  <c r="K745" i="2"/>
  <c r="K744" i="2"/>
  <c r="K752" i="2" s="1"/>
  <c r="K742" i="2"/>
  <c r="K741" i="2"/>
  <c r="K740" i="2"/>
  <c r="K739" i="2"/>
  <c r="K738" i="2"/>
  <c r="K737" i="2"/>
  <c r="K736" i="2"/>
  <c r="K735" i="2"/>
  <c r="K734" i="2"/>
  <c r="K733" i="2"/>
  <c r="K732" i="2"/>
  <c r="K743" i="2" s="1"/>
  <c r="K731" i="2"/>
  <c r="K730" i="2"/>
  <c r="K729" i="2"/>
  <c r="K727" i="2"/>
  <c r="K726" i="2"/>
  <c r="K725" i="2"/>
  <c r="K728" i="2" s="1"/>
  <c r="K724" i="2"/>
  <c r="K723" i="2"/>
  <c r="K721" i="2"/>
  <c r="K720" i="2"/>
  <c r="K719" i="2"/>
  <c r="K722" i="2" s="1"/>
  <c r="K718" i="2"/>
  <c r="K717" i="2"/>
  <c r="K716" i="2"/>
  <c r="K715" i="2"/>
  <c r="K713" i="2"/>
  <c r="K712" i="2"/>
  <c r="K711" i="2"/>
  <c r="K710" i="2"/>
  <c r="K714" i="2" s="1"/>
  <c r="K700" i="2"/>
  <c r="K699" i="2"/>
  <c r="K698" i="2"/>
  <c r="K697" i="2"/>
  <c r="K696" i="2"/>
  <c r="K695" i="2"/>
  <c r="K694" i="2"/>
  <c r="K693" i="2"/>
  <c r="K692" i="2"/>
  <c r="K691" i="2"/>
  <c r="K690" i="2"/>
  <c r="K688" i="2"/>
  <c r="K687" i="2"/>
  <c r="K686" i="2"/>
  <c r="K685" i="2"/>
  <c r="K684" i="2"/>
  <c r="K682" i="2"/>
  <c r="K681" i="2"/>
  <c r="K680" i="2"/>
  <c r="K678" i="2"/>
  <c r="K677" i="2"/>
  <c r="K676" i="2"/>
  <c r="K675" i="2"/>
  <c r="K674" i="2"/>
  <c r="K672" i="2"/>
  <c r="K671" i="2"/>
  <c r="K669" i="2"/>
  <c r="K668" i="2"/>
  <c r="K666" i="2"/>
  <c r="K665" i="2"/>
  <c r="K664" i="2"/>
  <c r="K662" i="2"/>
  <c r="K661" i="2"/>
  <c r="K659" i="2"/>
  <c r="K658" i="2"/>
  <c r="K657" i="2"/>
  <c r="K656" i="2"/>
  <c r="K654" i="2"/>
  <c r="K653" i="2"/>
  <c r="K652" i="2"/>
  <c r="K651" i="2"/>
  <c r="K649" i="2"/>
  <c r="K648" i="2"/>
  <c r="K647" i="2"/>
  <c r="K646" i="2"/>
  <c r="K644" i="2"/>
  <c r="K643" i="2"/>
  <c r="K642" i="2"/>
  <c r="K641" i="2"/>
  <c r="K640" i="2"/>
  <c r="K639" i="2"/>
  <c r="K645" i="2" s="1"/>
  <c r="K637" i="2"/>
  <c r="K636" i="2"/>
  <c r="K635" i="2"/>
  <c r="K634" i="2"/>
  <c r="K638" i="2" s="1"/>
  <c r="K632" i="2"/>
  <c r="K631" i="2"/>
  <c r="K630" i="2"/>
  <c r="K629" i="2"/>
  <c r="K628" i="2"/>
  <c r="K633" i="2" s="1"/>
  <c r="K627" i="2"/>
  <c r="K626" i="2"/>
  <c r="K625" i="2"/>
  <c r="K624" i="2"/>
  <c r="K622" i="2"/>
  <c r="K621" i="2"/>
  <c r="K620" i="2"/>
  <c r="K619" i="2"/>
  <c r="K623" i="2" s="1"/>
  <c r="K618" i="2"/>
  <c r="K617" i="2"/>
  <c r="K616" i="2"/>
  <c r="K615" i="2"/>
  <c r="K614" i="2"/>
  <c r="K613" i="2"/>
  <c r="K611" i="2"/>
  <c r="K610" i="2"/>
  <c r="K609" i="2"/>
  <c r="K608" i="2"/>
  <c r="K612" i="2" s="1"/>
  <c r="K607" i="2"/>
  <c r="K606" i="2"/>
  <c r="K605" i="2"/>
  <c r="K603" i="2"/>
  <c r="K602" i="2"/>
  <c r="K604" i="2" s="1"/>
  <c r="K601" i="2"/>
  <c r="K600" i="2"/>
  <c r="K598" i="2"/>
  <c r="K597" i="2"/>
  <c r="K596" i="2"/>
  <c r="K595" i="2"/>
  <c r="K599" i="2" s="1"/>
  <c r="K594" i="2"/>
  <c r="K593" i="2"/>
  <c r="K592" i="2"/>
  <c r="K591" i="2"/>
  <c r="K590" i="2"/>
  <c r="K588" i="2"/>
  <c r="K587" i="2"/>
  <c r="K586" i="2"/>
  <c r="K589" i="2" s="1"/>
  <c r="K585" i="2"/>
  <c r="K584" i="2"/>
  <c r="K582" i="2"/>
  <c r="K581" i="2"/>
  <c r="K580" i="2"/>
  <c r="K579" i="2"/>
  <c r="K578" i="2"/>
  <c r="K577" i="2"/>
  <c r="K576" i="2"/>
  <c r="K575" i="2"/>
  <c r="K574" i="2"/>
  <c r="K573" i="2"/>
  <c r="K583" i="2" s="1"/>
  <c r="K572" i="2"/>
  <c r="K570" i="2"/>
  <c r="K569" i="2"/>
  <c r="K568" i="2"/>
  <c r="K567" i="2"/>
  <c r="K566" i="2"/>
  <c r="K565" i="2"/>
  <c r="K564" i="2"/>
  <c r="K563" i="2"/>
  <c r="K571" i="2" s="1"/>
  <c r="K562" i="2"/>
  <c r="K561" i="2"/>
  <c r="K559" i="2"/>
  <c r="K558" i="2"/>
  <c r="K557" i="2"/>
  <c r="K556" i="2"/>
  <c r="K560" i="2" s="1"/>
  <c r="K555" i="2"/>
  <c r="K554" i="2"/>
  <c r="K553" i="2"/>
  <c r="K552" i="2"/>
  <c r="K551" i="2"/>
  <c r="K549" i="2"/>
  <c r="K548" i="2"/>
  <c r="K547" i="2"/>
  <c r="K550" i="2" s="1"/>
  <c r="K546" i="2"/>
  <c r="K545" i="2"/>
  <c r="K544" i="2"/>
  <c r="K543" i="2"/>
  <c r="K542" i="2"/>
  <c r="K540" i="2"/>
  <c r="K539" i="2"/>
  <c r="K538" i="2"/>
  <c r="K537" i="2"/>
  <c r="K536" i="2"/>
  <c r="K535" i="2"/>
  <c r="K534" i="2"/>
  <c r="K533" i="2"/>
  <c r="K532" i="2"/>
  <c r="K541" i="2" s="1"/>
  <c r="K531" i="2"/>
  <c r="K530" i="2"/>
  <c r="K529" i="2"/>
  <c r="K528" i="2"/>
  <c r="K527" i="2"/>
  <c r="K526" i="2"/>
  <c r="K525" i="2"/>
  <c r="K524" i="2"/>
  <c r="K523" i="2"/>
  <c r="K522" i="2"/>
  <c r="K520" i="2"/>
  <c r="K519" i="2"/>
  <c r="K518" i="2"/>
  <c r="K517" i="2"/>
  <c r="K516" i="2"/>
  <c r="K515" i="2"/>
  <c r="K514" i="2"/>
  <c r="K521" i="2" s="1"/>
  <c r="K512" i="2"/>
  <c r="K511" i="2"/>
  <c r="K510" i="2"/>
  <c r="K509" i="2"/>
  <c r="K508" i="2"/>
  <c r="K513" i="2" s="1"/>
  <c r="K504" i="2"/>
  <c r="K503" i="2"/>
  <c r="K502" i="2"/>
  <c r="K501" i="2"/>
  <c r="K500" i="2"/>
  <c r="K499" i="2"/>
  <c r="K498" i="2"/>
  <c r="K496" i="2"/>
  <c r="K495" i="2"/>
  <c r="K497" i="2" s="1"/>
  <c r="K493" i="2"/>
  <c r="K492" i="2"/>
  <c r="K491" i="2"/>
  <c r="K490" i="2"/>
  <c r="K489" i="2"/>
  <c r="K494" i="2" s="1"/>
  <c r="K487" i="2"/>
  <c r="K486" i="2"/>
  <c r="K485" i="2"/>
  <c r="K483" i="2"/>
  <c r="K482" i="2"/>
  <c r="K481" i="2"/>
  <c r="K480" i="2"/>
  <c r="K479" i="2"/>
  <c r="K484" i="2" s="1"/>
  <c r="K477" i="2"/>
  <c r="K476" i="2"/>
  <c r="K475" i="2"/>
  <c r="K474" i="2"/>
  <c r="K473" i="2"/>
  <c r="K472" i="2"/>
  <c r="K471" i="2"/>
  <c r="K478" i="2" s="1"/>
  <c r="K470" i="2"/>
  <c r="K469" i="2"/>
  <c r="K468" i="2"/>
  <c r="K467" i="2"/>
  <c r="K466" i="2"/>
  <c r="K464" i="2"/>
  <c r="K463" i="2"/>
  <c r="K465" i="2" s="1"/>
  <c r="K462" i="2"/>
  <c r="K461" i="2"/>
  <c r="K460" i="2"/>
  <c r="K459" i="2"/>
  <c r="K458" i="2"/>
  <c r="K457" i="2"/>
  <c r="K455" i="2"/>
  <c r="K454" i="2"/>
  <c r="K453" i="2"/>
  <c r="K452" i="2"/>
  <c r="K456" i="2" s="1"/>
  <c r="K451" i="2"/>
  <c r="K450" i="2"/>
  <c r="K449" i="2"/>
  <c r="K447" i="2"/>
  <c r="K446" i="2"/>
  <c r="K445" i="2"/>
  <c r="K444" i="2"/>
  <c r="K443" i="2"/>
  <c r="K442" i="2"/>
  <c r="K441" i="2"/>
  <c r="K440" i="2"/>
  <c r="K448" i="2" s="1"/>
  <c r="K438" i="2"/>
  <c r="K437" i="2"/>
  <c r="K436" i="2"/>
  <c r="K435" i="2"/>
  <c r="K434" i="2"/>
  <c r="K433" i="2"/>
  <c r="K432" i="2"/>
  <c r="K431" i="2"/>
  <c r="K439" i="2" s="1"/>
  <c r="K430" i="2"/>
  <c r="K428" i="2"/>
  <c r="K427" i="2"/>
  <c r="K426" i="2"/>
  <c r="K425" i="2"/>
  <c r="K424" i="2"/>
  <c r="K423" i="2"/>
  <c r="K422" i="2"/>
  <c r="K429" i="2" s="1"/>
  <c r="K420" i="2"/>
  <c r="K419" i="2"/>
  <c r="K418" i="2"/>
  <c r="K417" i="2"/>
  <c r="K416" i="2"/>
  <c r="K415" i="2"/>
  <c r="K421" i="2" s="1"/>
  <c r="K413" i="2"/>
  <c r="K412" i="2"/>
  <c r="K411" i="2"/>
  <c r="K410" i="2"/>
  <c r="K409" i="2"/>
  <c r="K408" i="2"/>
  <c r="K407" i="2"/>
  <c r="K414" i="2" s="1"/>
  <c r="K406" i="2"/>
  <c r="K405" i="2"/>
  <c r="K404" i="2"/>
  <c r="K403" i="2"/>
  <c r="K402" i="2"/>
  <c r="K401" i="2"/>
  <c r="K400" i="2"/>
  <c r="K398" i="2"/>
  <c r="K397" i="2"/>
  <c r="K396" i="2"/>
  <c r="K395" i="2"/>
  <c r="K394" i="2"/>
  <c r="K393" i="2"/>
  <c r="K391" i="2"/>
  <c r="K390" i="2"/>
  <c r="K389" i="2"/>
  <c r="K388" i="2"/>
  <c r="K392" i="2" s="1"/>
  <c r="K387" i="2"/>
  <c r="K386" i="2"/>
  <c r="K385" i="2"/>
  <c r="K383" i="2"/>
  <c r="K382" i="2"/>
  <c r="K381" i="2"/>
  <c r="K384" i="2" s="1"/>
  <c r="K380" i="2"/>
  <c r="K379" i="2"/>
  <c r="K377" i="2"/>
  <c r="K376" i="2"/>
  <c r="K375" i="2"/>
  <c r="K374" i="2"/>
  <c r="K378" i="2" s="1"/>
  <c r="K373" i="2"/>
  <c r="K372" i="2"/>
  <c r="K370" i="2"/>
  <c r="K369" i="2"/>
  <c r="K368" i="2"/>
  <c r="K367" i="2"/>
  <c r="K366" i="2"/>
  <c r="K371" i="2" s="1"/>
  <c r="K365" i="2"/>
  <c r="K363" i="2"/>
  <c r="K362" i="2"/>
  <c r="K364" i="2" s="1"/>
  <c r="K361" i="2"/>
  <c r="K359" i="2"/>
  <c r="K358" i="2"/>
  <c r="K357" i="2"/>
  <c r="K360" i="2" s="1"/>
  <c r="K355" i="2"/>
  <c r="K356" i="2" s="1"/>
  <c r="K354" i="2"/>
  <c r="K353" i="2"/>
  <c r="K351" i="2"/>
  <c r="K350" i="2"/>
  <c r="K352" i="2" s="1"/>
  <c r="K349" i="2"/>
  <c r="K348" i="2"/>
  <c r="K347" i="2"/>
  <c r="K346" i="2"/>
  <c r="K343" i="2"/>
  <c r="K342" i="2"/>
  <c r="K341" i="2"/>
  <c r="K340" i="2"/>
  <c r="K339" i="2"/>
  <c r="K338" i="2"/>
  <c r="K337" i="2"/>
  <c r="K336" i="2"/>
  <c r="K344" i="2" s="1"/>
  <c r="K334" i="2"/>
  <c r="K333" i="2"/>
  <c r="K335" i="2" s="1"/>
  <c r="K331" i="2"/>
  <c r="K330" i="2"/>
  <c r="K329" i="2"/>
  <c r="K328" i="2"/>
  <c r="K327" i="2"/>
  <c r="K332" i="2" s="1"/>
  <c r="K324" i="2"/>
  <c r="K323" i="2"/>
  <c r="K325" i="2" s="1"/>
  <c r="K322" i="2"/>
  <c r="K321" i="2"/>
  <c r="K320" i="2"/>
  <c r="K319" i="2"/>
  <c r="K316" i="2"/>
  <c r="K315" i="2"/>
  <c r="K317" i="2" s="1"/>
  <c r="K314" i="2"/>
  <c r="K313" i="2"/>
  <c r="K311" i="2"/>
  <c r="K310" i="2"/>
  <c r="K309" i="2"/>
  <c r="K308" i="2"/>
  <c r="K307" i="2"/>
  <c r="K312" i="2" s="1"/>
  <c r="K305" i="2"/>
  <c r="K304" i="2"/>
  <c r="K303" i="2"/>
  <c r="K301" i="2"/>
  <c r="K300" i="2"/>
  <c r="K302" i="2" s="1"/>
  <c r="K298" i="2"/>
  <c r="K297" i="2"/>
  <c r="K296" i="2"/>
  <c r="K295" i="2"/>
  <c r="K299" i="2" s="1"/>
  <c r="K293" i="2"/>
  <c r="K292" i="2"/>
  <c r="K291" i="2"/>
  <c r="K289" i="2"/>
  <c r="K288" i="2"/>
  <c r="K287" i="2"/>
  <c r="K286" i="2"/>
  <c r="K290" i="2" s="1"/>
  <c r="K282" i="2"/>
  <c r="K281" i="2"/>
  <c r="K283" i="2" s="1"/>
  <c r="K277" i="2"/>
  <c r="K276" i="2"/>
  <c r="K278" i="2" s="1"/>
  <c r="K274" i="2"/>
  <c r="K273" i="2"/>
  <c r="K275" i="2" s="1"/>
  <c r="K270" i="2"/>
  <c r="K269" i="2"/>
  <c r="K268" i="2"/>
  <c r="K271" i="2" s="1"/>
  <c r="K266" i="2"/>
  <c r="K265" i="2"/>
  <c r="K264" i="2"/>
  <c r="K259" i="2"/>
  <c r="K258" i="2"/>
  <c r="K257" i="2"/>
  <c r="K256" i="2"/>
  <c r="K253" i="2"/>
  <c r="K252" i="2"/>
  <c r="K251" i="2"/>
  <c r="K250" i="2"/>
  <c r="K247" i="2"/>
  <c r="K246" i="2"/>
  <c r="K245" i="2"/>
  <c r="K243" i="2"/>
  <c r="K242" i="2"/>
  <c r="K244" i="2" s="1"/>
  <c r="K240" i="2"/>
  <c r="K239" i="2"/>
  <c r="K241" i="2" s="1"/>
  <c r="K237" i="2"/>
  <c r="K236" i="2"/>
  <c r="K235" i="2"/>
  <c r="K234" i="2"/>
  <c r="K238" i="2" s="1"/>
  <c r="K232" i="2"/>
  <c r="K231" i="2"/>
  <c r="K230" i="2"/>
  <c r="K229" i="2"/>
  <c r="K233" i="2" s="1"/>
  <c r="K226" i="2"/>
  <c r="K225" i="2"/>
  <c r="K227" i="2" s="1"/>
  <c r="K223" i="2"/>
  <c r="K222" i="2"/>
  <c r="K224" i="2" s="1"/>
  <c r="K220" i="2"/>
  <c r="K219" i="2"/>
  <c r="K216" i="2"/>
  <c r="K215" i="2"/>
  <c r="K214" i="2"/>
  <c r="K217" i="2" s="1"/>
  <c r="K212" i="2"/>
  <c r="K211" i="2"/>
  <c r="K210" i="2"/>
  <c r="K213" i="2" s="1"/>
  <c r="K208" i="2"/>
  <c r="K207" i="2"/>
  <c r="K206" i="2"/>
  <c r="K205" i="2"/>
  <c r="K204" i="2"/>
  <c r="K209" i="2" s="1"/>
  <c r="K200" i="2"/>
  <c r="K199" i="2"/>
  <c r="K201" i="2" s="1"/>
  <c r="K198" i="2"/>
  <c r="K197" i="2"/>
  <c r="K196" i="2"/>
  <c r="K192" i="2"/>
  <c r="K191" i="2"/>
  <c r="K190" i="2"/>
  <c r="K189" i="2"/>
  <c r="K188" i="2"/>
  <c r="K187" i="2"/>
  <c r="K193" i="2" s="1"/>
  <c r="K185" i="2"/>
  <c r="K184" i="2"/>
  <c r="K183" i="2"/>
  <c r="K186" i="2" s="1"/>
  <c r="K180" i="2"/>
  <c r="K179" i="2"/>
  <c r="K181" i="2" s="1"/>
  <c r="K178" i="2"/>
  <c r="K177" i="2"/>
  <c r="K176" i="2"/>
  <c r="K174" i="2"/>
  <c r="K173" i="2"/>
  <c r="K175" i="2" s="1"/>
  <c r="K171" i="2"/>
  <c r="K170" i="2"/>
  <c r="K169" i="2"/>
  <c r="K168" i="2"/>
  <c r="K167" i="2"/>
  <c r="K172" i="2" s="1"/>
  <c r="K165" i="2"/>
  <c r="K164" i="2"/>
  <c r="K163" i="2"/>
  <c r="K162" i="2"/>
  <c r="K166" i="2" s="1"/>
  <c r="K160" i="2"/>
  <c r="K159" i="2"/>
  <c r="K158" i="2"/>
  <c r="K157" i="2"/>
  <c r="K161" i="2" s="1"/>
  <c r="K155" i="2"/>
  <c r="K154" i="2"/>
  <c r="K153" i="2"/>
  <c r="K156" i="2" s="1"/>
  <c r="K151" i="2"/>
  <c r="K150" i="2"/>
  <c r="K149" i="2"/>
  <c r="K148" i="2"/>
  <c r="K152" i="2" s="1"/>
  <c r="K147" i="2"/>
  <c r="K146" i="2"/>
  <c r="K145" i="2"/>
  <c r="K144" i="2"/>
  <c r="K143" i="2"/>
  <c r="K142" i="2"/>
  <c r="K140" i="2"/>
  <c r="K139" i="2"/>
  <c r="K141" i="2" s="1"/>
  <c r="K138" i="2"/>
  <c r="K136" i="2"/>
  <c r="K135" i="2"/>
  <c r="K134" i="2"/>
  <c r="K133" i="2"/>
  <c r="K132" i="2"/>
  <c r="K137" i="2" s="1"/>
  <c r="K129" i="2"/>
  <c r="K128" i="2"/>
  <c r="K127" i="2"/>
  <c r="K126" i="2"/>
  <c r="K124" i="2"/>
  <c r="K123" i="2"/>
  <c r="K122" i="2"/>
  <c r="K121" i="2"/>
  <c r="K120" i="2"/>
  <c r="K119" i="2"/>
  <c r="K118" i="2"/>
  <c r="K117" i="2"/>
  <c r="K116" i="2"/>
  <c r="K115" i="2"/>
  <c r="K125" i="2" s="1"/>
  <c r="K113" i="2"/>
  <c r="K114" i="2" s="1"/>
  <c r="K112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111" i="2" s="1"/>
  <c r="K97" i="2"/>
  <c r="K98" i="2" s="1"/>
  <c r="K96" i="2"/>
  <c r="K95" i="2"/>
  <c r="K94" i="2"/>
  <c r="K93" i="2"/>
  <c r="K91" i="2"/>
  <c r="K90" i="2"/>
  <c r="K92" i="2" s="1"/>
  <c r="K88" i="2"/>
  <c r="K87" i="2"/>
  <c r="K86" i="2"/>
  <c r="K84" i="2"/>
  <c r="K83" i="2"/>
  <c r="K82" i="2"/>
  <c r="K81" i="2"/>
  <c r="K80" i="2"/>
  <c r="K79" i="2"/>
  <c r="K85" i="2" s="1"/>
  <c r="K77" i="2"/>
  <c r="K76" i="2"/>
  <c r="K75" i="2"/>
  <c r="K74" i="2"/>
  <c r="K73" i="2"/>
  <c r="K78" i="2" s="1"/>
  <c r="K72" i="2"/>
  <c r="K71" i="2"/>
  <c r="K70" i="2"/>
  <c r="K69" i="2"/>
  <c r="K68" i="2"/>
  <c r="K66" i="2"/>
  <c r="K65" i="2"/>
  <c r="K67" i="2" s="1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4" i="2"/>
  <c r="K43" i="2"/>
  <c r="K42" i="2"/>
  <c r="K41" i="2"/>
  <c r="K40" i="2"/>
  <c r="K45" i="2" s="1"/>
  <c r="K38" i="2"/>
  <c r="K37" i="2"/>
  <c r="K36" i="2"/>
  <c r="K35" i="2"/>
  <c r="K39" i="2" s="1"/>
  <c r="K33" i="2"/>
  <c r="K32" i="2"/>
  <c r="K31" i="2"/>
  <c r="K34" i="2" s="1"/>
  <c r="K29" i="2"/>
  <c r="K28" i="2"/>
  <c r="K27" i="2"/>
  <c r="K26" i="2"/>
  <c r="K30" i="2" s="1"/>
  <c r="K24" i="2"/>
  <c r="K23" i="2"/>
  <c r="K22" i="2"/>
  <c r="K21" i="2"/>
  <c r="K25" i="2" s="1"/>
  <c r="K19" i="2"/>
  <c r="K18" i="2"/>
  <c r="K17" i="2"/>
  <c r="K16" i="2"/>
  <c r="K15" i="2"/>
  <c r="K14" i="2"/>
  <c r="K13" i="2"/>
  <c r="K12" i="2"/>
  <c r="K20" i="2" s="1"/>
  <c r="K10" i="2"/>
  <c r="K9" i="2"/>
  <c r="K8" i="2"/>
  <c r="K11" i="2" s="1"/>
  <c r="K7" i="2"/>
  <c r="K6" i="2"/>
  <c r="G73" i="1"/>
  <c r="D73" i="1"/>
  <c r="C73" i="1"/>
  <c r="B73" i="1"/>
  <c r="A73" i="1"/>
  <c r="D72" i="1"/>
  <c r="B72" i="1"/>
  <c r="J71" i="1"/>
  <c r="H71" i="1"/>
  <c r="E71" i="1"/>
  <c r="D71" i="1"/>
  <c r="B71" i="1"/>
  <c r="A71" i="1"/>
  <c r="J70" i="1"/>
  <c r="H70" i="1"/>
  <c r="F70" i="1"/>
  <c r="E70" i="1"/>
  <c r="D70" i="1"/>
  <c r="B70" i="1"/>
  <c r="F69" i="1"/>
  <c r="D69" i="1"/>
  <c r="C69" i="1"/>
  <c r="B69" i="1"/>
  <c r="J68" i="1"/>
  <c r="H68" i="1"/>
  <c r="F68" i="1"/>
  <c r="E68" i="1"/>
  <c r="D68" i="1"/>
  <c r="B68" i="1"/>
  <c r="J67" i="1"/>
  <c r="H67" i="1"/>
  <c r="F67" i="1"/>
  <c r="E67" i="1"/>
  <c r="D67" i="1"/>
  <c r="B67" i="1"/>
  <c r="J66" i="1"/>
  <c r="H66" i="1"/>
  <c r="F66" i="1"/>
  <c r="E66" i="1"/>
  <c r="D66" i="1"/>
  <c r="B66" i="1"/>
  <c r="J65" i="1"/>
  <c r="H65" i="1"/>
  <c r="F65" i="1"/>
  <c r="E65" i="1"/>
  <c r="D65" i="1"/>
  <c r="B65" i="1"/>
  <c r="D64" i="1"/>
  <c r="C64" i="1"/>
  <c r="B64" i="1"/>
  <c r="A64" i="1"/>
  <c r="K63" i="1"/>
  <c r="J63" i="1"/>
  <c r="I63" i="1"/>
  <c r="H63" i="1"/>
  <c r="G63" i="1"/>
  <c r="F63" i="1"/>
  <c r="E63" i="1"/>
  <c r="D63" i="1"/>
  <c r="C63" i="1"/>
  <c r="B63" i="1"/>
  <c r="K62" i="1"/>
  <c r="J62" i="1"/>
  <c r="I62" i="1"/>
  <c r="H62" i="1"/>
  <c r="F62" i="1"/>
  <c r="E62" i="1"/>
  <c r="D62" i="1"/>
  <c r="C62" i="1"/>
  <c r="B62" i="1"/>
  <c r="K61" i="1"/>
  <c r="J61" i="1"/>
  <c r="I61" i="1"/>
  <c r="H61" i="1"/>
  <c r="F61" i="1"/>
  <c r="E61" i="1"/>
  <c r="D61" i="1"/>
  <c r="C61" i="1"/>
  <c r="B61" i="1"/>
  <c r="K60" i="1"/>
  <c r="J60" i="1"/>
  <c r="I60" i="1"/>
  <c r="H60" i="1"/>
  <c r="F60" i="1"/>
  <c r="E60" i="1"/>
  <c r="D60" i="1"/>
  <c r="C60" i="1"/>
  <c r="B60" i="1"/>
  <c r="J59" i="1"/>
  <c r="G59" i="1"/>
  <c r="E59" i="1"/>
  <c r="D59" i="1"/>
  <c r="B59" i="1"/>
  <c r="J58" i="1"/>
  <c r="H58" i="1"/>
  <c r="F58" i="1"/>
  <c r="E58" i="1"/>
  <c r="D58" i="1"/>
  <c r="B58" i="1"/>
  <c r="J57" i="1"/>
  <c r="H57" i="1"/>
  <c r="F57" i="1"/>
  <c r="E57" i="1"/>
  <c r="D57" i="1"/>
  <c r="B57" i="1"/>
  <c r="J56" i="1"/>
  <c r="H56" i="1"/>
  <c r="F56" i="1"/>
  <c r="E56" i="1"/>
  <c r="D56" i="1"/>
  <c r="B56" i="1"/>
  <c r="J55" i="1"/>
  <c r="H55" i="1"/>
  <c r="F55" i="1"/>
  <c r="E55" i="1"/>
  <c r="D55" i="1"/>
  <c r="B55" i="1"/>
  <c r="J54" i="1"/>
  <c r="H54" i="1"/>
  <c r="F54" i="1"/>
  <c r="E54" i="1"/>
  <c r="D54" i="1"/>
  <c r="B54" i="1"/>
  <c r="J53" i="1"/>
  <c r="H53" i="1"/>
  <c r="F53" i="1"/>
  <c r="E53" i="1"/>
  <c r="D53" i="1"/>
  <c r="B53" i="1"/>
  <c r="J52" i="1"/>
  <c r="H52" i="1"/>
  <c r="F52" i="1"/>
  <c r="E52" i="1"/>
  <c r="D52" i="1"/>
  <c r="B52" i="1"/>
  <c r="J51" i="1"/>
  <c r="H51" i="1"/>
  <c r="G51" i="1"/>
  <c r="F51" i="1"/>
  <c r="E51" i="1"/>
  <c r="D51" i="1"/>
  <c r="B51" i="1"/>
  <c r="J50" i="1"/>
  <c r="H50" i="1"/>
  <c r="F50" i="1"/>
  <c r="E50" i="1"/>
  <c r="D50" i="1"/>
  <c r="B50" i="1"/>
  <c r="J49" i="1"/>
  <c r="H49" i="1"/>
  <c r="F49" i="1"/>
  <c r="E49" i="1"/>
  <c r="D49" i="1"/>
  <c r="B49" i="1"/>
  <c r="J48" i="1"/>
  <c r="D48" i="1"/>
  <c r="C48" i="1"/>
  <c r="B48" i="1"/>
  <c r="K47" i="1"/>
  <c r="I47" i="1"/>
  <c r="H47" i="1"/>
  <c r="G47" i="1"/>
  <c r="F47" i="1"/>
  <c r="E47" i="1"/>
  <c r="D47" i="1"/>
  <c r="C47" i="1"/>
  <c r="B47" i="1"/>
  <c r="A47" i="1"/>
  <c r="K46" i="1"/>
  <c r="I46" i="1"/>
  <c r="H46" i="1"/>
  <c r="G46" i="1"/>
  <c r="F46" i="1"/>
  <c r="E46" i="1"/>
  <c r="D46" i="1"/>
  <c r="C46" i="1"/>
  <c r="B46" i="1"/>
  <c r="A46" i="1"/>
  <c r="H45" i="1"/>
  <c r="F45" i="1"/>
  <c r="E45" i="1"/>
  <c r="D45" i="1"/>
  <c r="B45" i="1"/>
  <c r="A45" i="1"/>
  <c r="M35" i="1"/>
  <c r="J32" i="1"/>
  <c r="J73" i="1" s="1"/>
  <c r="I32" i="1"/>
  <c r="I73" i="1" s="1"/>
  <c r="H32" i="1"/>
  <c r="H73" i="1" s="1"/>
  <c r="G32" i="1"/>
  <c r="F32" i="1"/>
  <c r="F73" i="1" s="1"/>
  <c r="E32" i="1"/>
  <c r="E73" i="1" s="1"/>
  <c r="F31" i="1"/>
  <c r="F72" i="1" s="1"/>
  <c r="G30" i="1"/>
  <c r="G71" i="1" s="1"/>
  <c r="F30" i="1"/>
  <c r="F71" i="1" s="1"/>
  <c r="I29" i="1"/>
  <c r="I70" i="1" s="1"/>
  <c r="G29" i="1"/>
  <c r="G70" i="1" s="1"/>
  <c r="J28" i="1"/>
  <c r="J81" i="1" s="1"/>
  <c r="H28" i="1"/>
  <c r="H69" i="1" s="1"/>
  <c r="G28" i="1"/>
  <c r="I28" i="1" s="1"/>
  <c r="F28" i="1"/>
  <c r="E28" i="1"/>
  <c r="E69" i="1" s="1"/>
  <c r="K27" i="1"/>
  <c r="K68" i="1" s="1"/>
  <c r="I27" i="1"/>
  <c r="I68" i="1" s="1"/>
  <c r="G27" i="1"/>
  <c r="G68" i="1" s="1"/>
  <c r="I26" i="1"/>
  <c r="I67" i="1" s="1"/>
  <c r="G26" i="1"/>
  <c r="G67" i="1" s="1"/>
  <c r="I25" i="1"/>
  <c r="K25" i="1" s="1"/>
  <c r="G25" i="1"/>
  <c r="G66" i="1" s="1"/>
  <c r="I24" i="1"/>
  <c r="I65" i="1" s="1"/>
  <c r="G24" i="1"/>
  <c r="G65" i="1" s="1"/>
  <c r="J23" i="1"/>
  <c r="J64" i="1" s="1"/>
  <c r="I23" i="1"/>
  <c r="I64" i="1" s="1"/>
  <c r="H23" i="1"/>
  <c r="H64" i="1" s="1"/>
  <c r="G23" i="1"/>
  <c r="G64" i="1" s="1"/>
  <c r="F23" i="1"/>
  <c r="F64" i="1" s="1"/>
  <c r="E23" i="1"/>
  <c r="E64" i="1" s="1"/>
  <c r="G22" i="1"/>
  <c r="G21" i="1"/>
  <c r="G62" i="1" s="1"/>
  <c r="G20" i="1"/>
  <c r="G61" i="1" s="1"/>
  <c r="G19" i="1"/>
  <c r="G60" i="1" s="1"/>
  <c r="H18" i="1"/>
  <c r="I18" i="1" s="1"/>
  <c r="G18" i="1"/>
  <c r="F18" i="1"/>
  <c r="F59" i="1" s="1"/>
  <c r="K17" i="1"/>
  <c r="K58" i="1" s="1"/>
  <c r="I17" i="1"/>
  <c r="I58" i="1" s="1"/>
  <c r="G17" i="1"/>
  <c r="G58" i="1" s="1"/>
  <c r="I16" i="1"/>
  <c r="I57" i="1" s="1"/>
  <c r="G16" i="1"/>
  <c r="G57" i="1" s="1"/>
  <c r="I15" i="1"/>
  <c r="K15" i="1" s="1"/>
  <c r="G15" i="1"/>
  <c r="G56" i="1" s="1"/>
  <c r="I14" i="1"/>
  <c r="I55" i="1" s="1"/>
  <c r="G14" i="1"/>
  <c r="G55" i="1" s="1"/>
  <c r="G13" i="1"/>
  <c r="G54" i="1" s="1"/>
  <c r="G12" i="1"/>
  <c r="I12" i="1" s="1"/>
  <c r="G11" i="1"/>
  <c r="G52" i="1" s="1"/>
  <c r="K10" i="1"/>
  <c r="K51" i="1" s="1"/>
  <c r="I10" i="1"/>
  <c r="I51" i="1" s="1"/>
  <c r="G10" i="1"/>
  <c r="K9" i="1"/>
  <c r="K50" i="1" s="1"/>
  <c r="I9" i="1"/>
  <c r="I50" i="1" s="1"/>
  <c r="G9" i="1"/>
  <c r="G50" i="1" s="1"/>
  <c r="I8" i="1"/>
  <c r="I49" i="1" s="1"/>
  <c r="G8" i="1"/>
  <c r="G49" i="1" s="1"/>
  <c r="J7" i="1"/>
  <c r="J79" i="1" s="1"/>
  <c r="G7" i="1"/>
  <c r="G48" i="1" s="1"/>
  <c r="F7" i="1"/>
  <c r="F48" i="1" s="1"/>
  <c r="E7" i="1"/>
  <c r="E31" i="1" s="1"/>
  <c r="L25" i="1" l="1"/>
  <c r="M25" i="1" s="1"/>
  <c r="K66" i="1"/>
  <c r="K18" i="1"/>
  <c r="I59" i="1"/>
  <c r="L15" i="1"/>
  <c r="M15" i="1" s="1"/>
  <c r="K56" i="1"/>
  <c r="K12" i="1"/>
  <c r="I53" i="1"/>
  <c r="E72" i="1"/>
  <c r="G31" i="1"/>
  <c r="I81" i="1"/>
  <c r="I69" i="1"/>
  <c r="K28" i="1"/>
  <c r="L9" i="1"/>
  <c r="M9" i="1" s="1"/>
  <c r="I11" i="1"/>
  <c r="K14" i="1"/>
  <c r="L17" i="1"/>
  <c r="M17" i="1" s="1"/>
  <c r="K24" i="1"/>
  <c r="L27" i="1"/>
  <c r="M27" i="1" s="1"/>
  <c r="I56" i="1"/>
  <c r="I66" i="1"/>
  <c r="H7" i="1"/>
  <c r="K8" i="1"/>
  <c r="I13" i="1"/>
  <c r="K16" i="1"/>
  <c r="K26" i="1"/>
  <c r="I30" i="1"/>
  <c r="H59" i="1"/>
  <c r="G69" i="1"/>
  <c r="J80" i="1"/>
  <c r="I7" i="1"/>
  <c r="K23" i="1"/>
  <c r="J31" i="1"/>
  <c r="J72" i="1" s="1"/>
  <c r="K32" i="1"/>
  <c r="G53" i="1"/>
  <c r="E48" i="1"/>
  <c r="L10" i="1"/>
  <c r="M10" i="1" s="1"/>
  <c r="K29" i="1"/>
  <c r="J69" i="1"/>
  <c r="I80" i="1"/>
  <c r="L23" i="1" l="1"/>
  <c r="M23" i="1" s="1"/>
  <c r="K80" i="1"/>
  <c r="K64" i="1"/>
  <c r="I79" i="1"/>
  <c r="K7" i="1"/>
  <c r="I48" i="1"/>
  <c r="K70" i="1"/>
  <c r="L29" i="1"/>
  <c r="M29" i="1" s="1"/>
  <c r="H48" i="1"/>
  <c r="H31" i="1"/>
  <c r="H72" i="1" s="1"/>
  <c r="K53" i="1"/>
  <c r="L12" i="1"/>
  <c r="M12" i="1" s="1"/>
  <c r="K81" i="1"/>
  <c r="K69" i="1"/>
  <c r="L28" i="1"/>
  <c r="M28" i="1" s="1"/>
  <c r="K55" i="1"/>
  <c r="L14" i="1"/>
  <c r="M14" i="1" s="1"/>
  <c r="K49" i="1"/>
  <c r="L8" i="1"/>
  <c r="M8" i="1" s="1"/>
  <c r="K11" i="1"/>
  <c r="I52" i="1"/>
  <c r="I71" i="1"/>
  <c r="K30" i="1"/>
  <c r="K59" i="1"/>
  <c r="L18" i="1"/>
  <c r="M18" i="1" s="1"/>
  <c r="K57" i="1"/>
  <c r="L16" i="1"/>
  <c r="M16" i="1" s="1"/>
  <c r="I54" i="1"/>
  <c r="K13" i="1"/>
  <c r="K73" i="1"/>
  <c r="L32" i="1"/>
  <c r="M32" i="1" s="1"/>
  <c r="K67" i="1"/>
  <c r="L26" i="1"/>
  <c r="M26" i="1" s="1"/>
  <c r="K65" i="1"/>
  <c r="L24" i="1"/>
  <c r="M24" i="1" s="1"/>
  <c r="G72" i="1"/>
  <c r="I31" i="1"/>
  <c r="K31" i="1" l="1"/>
  <c r="K72" i="1" s="1"/>
  <c r="I72" i="1"/>
  <c r="L13" i="1"/>
  <c r="M13" i="1" s="1"/>
  <c r="K54" i="1"/>
  <c r="L7" i="1"/>
  <c r="M7" i="1" s="1"/>
  <c r="K48" i="1"/>
  <c r="K79" i="1"/>
  <c r="K52" i="1"/>
  <c r="L11" i="1"/>
  <c r="M11" i="1" s="1"/>
  <c r="L30" i="1"/>
  <c r="M30" i="1" s="1"/>
  <c r="K71" i="1"/>
</calcChain>
</file>

<file path=xl/sharedStrings.xml><?xml version="1.0" encoding="utf-8"?>
<sst xmlns="http://schemas.openxmlformats.org/spreadsheetml/2006/main" count="5808" uniqueCount="2668">
  <si>
    <t>ตัวชี้วัด</t>
  </si>
  <si>
    <t>2.5.1 เงินสนับสนุนงานวิจัยหรืองานสร้างสรรค์ต่ออาจารย์ประจำและนักวิจัย</t>
  </si>
  <si>
    <t>ผลการดำเนินงาน</t>
  </si>
  <si>
    <t>หน่วยงานเจ้าภาพ</t>
  </si>
  <si>
    <t>สถาบันวิจัยและพัฒนา</t>
  </si>
  <si>
    <t>รอบ 8 เดือน</t>
  </si>
  <si>
    <t>ผู้รับผิดชอบ</t>
  </si>
  <si>
    <t>นางสาวอนุธิดา แสงใส</t>
  </si>
  <si>
    <t>โทร. 1342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</si>
  <si>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</si>
  <si>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</si>
  <si>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</si>
  <si>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</si>
  <si>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เงินสนับสนุนงานวิจัยและงานสร้างสรรค์ต่อจำนวนอาจารย์ประจำ</t>
  </si>
  <si>
    <t>จำนวนอาจารย์ประจำทั้งหมด
(ไม่นับรวมลาศึกษาต่อ)
(3)</t>
  </si>
  <si>
    <t>เงินสนับสนุนงานวิจัยหรืองานสร้างสรรค์ต่ออาจารย์ประจำและนักวิจัย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</si>
  <si>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</si>
  <si>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</si>
  <si>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</si>
  <si>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</si>
  <si>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แหล่งทุนภายใน</t>
  </si>
  <si>
    <t>แหล่งทุนภายนอก</t>
  </si>
  <si>
    <t>รวม</t>
  </si>
  <si>
    <t>งบประมาณรายได้</t>
  </si>
  <si>
    <t>งบประมาณแผ่นดิน</t>
  </si>
  <si>
    <t>งบประมาณภายนอก</t>
  </si>
  <si>
    <t>1.กลุ่มสาขาวิชามนุษยศาสตร์และสังคมศาสตร์</t>
  </si>
  <si>
    <t>ช่วงปรับเกณฑ์การให้คะแนน</t>
  </si>
  <si>
    <t>1) คณะครุศาสตร์</t>
  </si>
  <si>
    <t>ยืนยันตามวิจัย</t>
  </si>
  <si>
    <t>คะแนน 1</t>
  </si>
  <si>
    <t>คะแนน 2</t>
  </si>
  <si>
    <t>คะแนน 3</t>
  </si>
  <si>
    <t>คะแนน 4</t>
  </si>
  <si>
    <t>คะแนน 5</t>
  </si>
  <si>
    <t>2) คณะมนุษยศาสตร์และสังคมศาสตร์</t>
  </si>
  <si>
    <t>กลุ่มมนุษย์</t>
  </si>
  <si>
    <t>3) คณะวิทยาการจัดการ</t>
  </si>
  <si>
    <t>กลุ่มวิทย์</t>
  </si>
  <si>
    <t>4) คณะศิลปกรรมศาสตร์</t>
  </si>
  <si>
    <t>กลุ่มวิทย์สุขภาพ</t>
  </si>
  <si>
    <t>5) วิทยาลัยนวัตกรรมและการจัดการ</t>
  </si>
  <si>
    <t>6) วิทยาลัยโลจิสติกส์และซัพพลายเชน</t>
  </si>
  <si>
    <t>7) วิทยาลัยการเมืองและการปกครอง</t>
  </si>
  <si>
    <t>8) วิทยาลัยการจัดการอุตสาหกรรมบริการ</t>
  </si>
  <si>
    <t>9) วิทยาลัยนิเทศศาสตร์</t>
  </si>
  <si>
    <t>10.1) บัณฑิตวิทยาลัย (กลุ่มมนุษยศาสตร์ฯ)</t>
  </si>
  <si>
    <t>11) ศูนย์การศึกษาจังหวัดอุดรธานี</t>
  </si>
  <si>
    <t>11.1) วิทยาลัยการเมืองการปกครอง</t>
  </si>
  <si>
    <t>11.2) วิทยาลัยการจัดการอุตสาหกรรมบริการ</t>
  </si>
  <si>
    <t>11.3) วิทยาลัยนวัตกรรมและการจัดการ</t>
  </si>
  <si>
    <t>11.4) วิทยาลัยโลจิสติกส์และซัพพลายเชน</t>
  </si>
  <si>
    <t>2.กลุ่มสาขาวิชาวิทยาศาสตร์และเทคโนโลยี</t>
  </si>
  <si>
    <t>10.2)  บัณฑิตวิทยาลัย (กลุ่มวิทยาศาสตร์ฯ)</t>
  </si>
  <si>
    <t>12) คณะวิทยาศาสตร์และเทคโนโลยี</t>
  </si>
  <si>
    <t>13) คณะเทคโนโลยีอุตสาหกรรม</t>
  </si>
  <si>
    <t xml:space="preserve">   14) วิทยาลัยสถาปัตยกรรมศาสตร์</t>
  </si>
  <si>
    <t>3.กลุ่มวิทยาศาสตร์สุขภาพ</t>
  </si>
  <si>
    <t>15) วิทยาลัยพยาบาลและสุขภาพ</t>
  </si>
  <si>
    <t>16) วิทยาลัยสหเวชศาสตร์</t>
  </si>
  <si>
    <t>10) บัณฑิตวิทยาลัย (กลุ่มมนุษยศาสตร์ฯ+วิทยาศาสตร์ฯ)</t>
  </si>
  <si>
    <t>ตัวชี้วัดระดับเจ้าภาพ</t>
  </si>
  <si>
    <t>2.5.1 (S)  ระดับความสำเร็จของการดำเนินการตามแนวทางตามตัวชี้วัดเงินสนับสนุนงานวิจัยหรืองานสร้างสรรค์ต่ออาจารย์ประจำและนักวิจัย</t>
  </si>
  <si>
    <t>คะแนน</t>
  </si>
  <si>
    <t>ดำเนินการได้ 3 กิจกรรมจาก 6 กิจกรรม =  50.00</t>
  </si>
  <si>
    <t>เงินสนับสนุนงานวิจัย</t>
  </si>
  <si>
    <t>จำนวนอาจารย์ประจำทั้งหมด</t>
  </si>
  <si>
    <t>เฉลี่ยต่อคน</t>
  </si>
  <si>
    <t>ครุ</t>
  </si>
  <si>
    <t>มนุษย</t>
  </si>
  <si>
    <t>ารจัดการ</t>
  </si>
  <si>
    <t>ศิลปกรรม</t>
  </si>
  <si>
    <t>นวัตกรรม</t>
  </si>
  <si>
    <t>โลจิสติกส์</t>
  </si>
  <si>
    <t>การเมือง</t>
  </si>
  <si>
    <t>อุตสาหกรรม</t>
  </si>
  <si>
    <t>นิเทศ</t>
  </si>
  <si>
    <t>บัณฑิต (มนุษย์ฯ)</t>
  </si>
  <si>
    <t>ศูนย์ฯ จ.อุดร</t>
  </si>
  <si>
    <t>บัณฑิต (วิทย์ฯ)</t>
  </si>
  <si>
    <t>วิทย์</t>
  </si>
  <si>
    <t>เทคโนโลยี</t>
  </si>
  <si>
    <t>สถาปัตย์</t>
  </si>
  <si>
    <t>3.กลุ่มวิทย์ฯสุขภาพ</t>
  </si>
  <si>
    <t>พยาบาล</t>
  </si>
  <si>
    <t>สหเวช</t>
  </si>
  <si>
    <t>มหาวิทยาลัย</t>
  </si>
  <si>
    <t>กลุ่มสาขาวิชา</t>
  </si>
  <si>
    <t>มนุษยศาสตร์และสังคมศาสตร์</t>
  </si>
  <si>
    <t>วิทยาศาสตร์และเทคโนโลยี</t>
  </si>
  <si>
    <t>วิทยาศาสตร์สุขภาพ</t>
  </si>
  <si>
    <t>รายละเอียดตัวชี้วัด</t>
  </si>
  <si>
    <t>น.ส.อนุธิดา แสงใส</t>
  </si>
  <si>
    <t>โทร. 02-160-1343 ต่อ 19</t>
  </si>
  <si>
    <t>ชื่อผลงาน</t>
  </si>
  <si>
    <t>แหล่งทุน</t>
  </si>
  <si>
    <t>งานวิจัยหรืองานสร้างสรรค์ที่ได้ร่วมมือกับภาคอุตสาหกรรม ภาครัฐ หรือภาคบริการในระดับชาติและระดับนานาชาติต่อผลงานวิจัยและงานสร้างสรรค์ทั้งหมด</t>
  </si>
  <si>
    <t>ชื่ออาจารย์ที่เป็นเจ้าของผลงานวิจัย</t>
  </si>
  <si>
    <t>สังกัด 
คณะ/วิทยาลัย/สาขาวิชา</t>
  </si>
  <si>
    <t>จำนวนเงิน</t>
  </si>
  <si>
    <t>หน่วยงานที่สนับสนุนทุน</t>
  </si>
  <si>
    <t>เลขที่สัญญา</t>
  </si>
  <si>
    <t>ความร่วมมือ</t>
  </si>
  <si>
    <t>ระดับความร่วมมือ</t>
  </si>
  <si>
    <t>ชื่อหน่วยงานที่ร่วมมือ</t>
  </si>
  <si>
    <t>ประเภทของหน่วยงาน</t>
  </si>
  <si>
    <t>พัฒนาออกแบบบรรจุภัณฑ์ผลิตภัณฑ์แปรรูปทางการเกษตรตามลักษณะบ่งชี้ทางภูมิศาสตร์ จังหวัดสมุทรสงคราม</t>
  </si>
  <si>
    <t>งบประมาณภายใน (รายได้)</t>
  </si>
  <si>
    <t xml:space="preserve">
</t>
  </si>
  <si>
    <t xml:space="preserve">อาจารย์ศุภวรรณ พันธ์เกาะเลิ่ง  96%
</t>
  </si>
  <si>
    <t xml:space="preserve"> คณะเทคโนโลยีอุตสาหกรรม
</t>
  </si>
  <si>
    <t>มหาวิทยาลัยราชภัฏสวนสุนันทา</t>
  </si>
  <si>
    <t>10824/2565</t>
  </si>
  <si>
    <t>อาจารย์ดวงรัตน์ ด่านไทยนำ  1%</t>
  </si>
  <si>
    <t>รองศาสตราจารย์ ดร.นารีนาถ รักสุนทร  1%</t>
  </si>
  <si>
    <t>ผู้ช่วยศาสตราจารย์ ดร. สหภพ กลีบลำเจียก  1%</t>
  </si>
  <si>
    <t>อาจารย์ภาณุพงศ์ จันทน์ผลิน  1%</t>
  </si>
  <si>
    <t xml:space="preserve"> คณะเทคโนโลยีอุตสาหกรรม</t>
  </si>
  <si>
    <t>การเพิ่มมูลค่าและขีดความสามารถการแข่งขันของสินค้าเกษตรแปรรูปจังหวัดสมุทรสงคราม: กรณีน้ำตาลมะพร้าว</t>
  </si>
  <si>
    <t xml:space="preserve">อาจารย์ ดร.ไสว ศิริทองถาวร  20%
</t>
  </si>
  <si>
    <t>10516/2565</t>
  </si>
  <si>
    <t>รองศาสตราจารย์ ดร. สมเกียรติ กอบัวแก้ว  15%</t>
  </si>
  <si>
    <t>รองศาตราจารย์ ดร.ฤดี นิยมรัตน์  10%</t>
  </si>
  <si>
    <t>ผู้ช่วยศาสตราจารย์อรัญ ขวัญปาน  15%</t>
  </si>
  <si>
    <t>ผู้ช่วยศาสตราจารย์ ดร.ศุภโยธิน ณ สงขลา  10%</t>
  </si>
  <si>
    <t>อาจารย์พิชา ศรีพระจันทร์ 10%</t>
  </si>
  <si>
    <t xml:space="preserve"> วิทยาลัยสถาปัตยกรรมศาสตร์
</t>
  </si>
  <si>
    <t>อาจารย์ ดร.รวิ อุตตมธนินทร์ 10%</t>
  </si>
  <si>
    <t>ผู้ช่วยศาสตราจารย์ขวัญเรือน รัศมี  10%</t>
  </si>
  <si>
    <t>การเพิ่มผลิตภาพการผลิตสินค้าเกษตรแปรรูป บนฐานความรู้ วิถีชีวิตและภูมิปัญญาของจังหวัดสมุทรสงคราม: กรณีน้ำตาลมะพร้าว</t>
  </si>
  <si>
    <t xml:space="preserve">รองศาสตราจารย์ ดร. สมเกียรติ กอบัวแก้ว  40%
</t>
  </si>
  <si>
    <t>10522/2565</t>
  </si>
  <si>
    <t xml:space="preserve">รองศาตราจารย์ ดร.ฤดี นิยมรัตน์  30%
</t>
  </si>
  <si>
    <t xml:space="preserve">อาจารย์ ดร.ไสว ศิริทองถาวร  20%
</t>
  </si>
  <si>
    <t>อาจารย์พิชา ศรีพระจันทร์  10%</t>
  </si>
  <si>
    <t xml:space="preserve"> วิทยาลัยสถาปัตยกรรมศาสตร์</t>
  </si>
  <si>
    <t>การศึกษาแนวทางการบริหารจัดการขยะเพื่อแปลงให้เป็นพลังงานเชื้อเพลิงและพลังงานไฟฟ้า</t>
  </si>
  <si>
    <t xml:space="preserve">
</t>
  </si>
  <si>
    <t xml:space="preserve">ผู้ช่วยศาตราจารย์ ดร.พรภวิษย์ บุญศรีเมือง  50%
</t>
  </si>
  <si>
    <t>10903/2565</t>
  </si>
  <si>
    <t xml:space="preserve">อาจารย์ณัฐิดา จันหอม  40%
</t>
  </si>
  <si>
    <t>ผู้ช่วยศาสตราจารย์ ดร.อธิสมัย โสพันธ์  5%</t>
  </si>
  <si>
    <t>อาจารย์ทศพร  นาคย้อย 5%</t>
  </si>
  <si>
    <t>การศึกษาการแปรสภาพขยะพลาสติกให้เป็นพลังงานเชื้อเพลิงด้วยกระบวนการไพโรไลซิส</t>
  </si>
  <si>
    <t xml:space="preserve">ผู้ช่วยศาตราจารย์ ดร.พรภวิษย์ บุญศรีเมือง 50%
</t>
  </si>
  <si>
    <t xml:space="preserve"> คณะเทคโนโลยีอุตสาหกรรม
 </t>
  </si>
  <si>
    <t>10921/2565</t>
  </si>
  <si>
    <t xml:space="preserve">คณะเทคโนโลยีอุตสาหกรรม
</t>
  </si>
  <si>
    <t>ผู้ช่วยศาสตราจารย์ ดร.อธิสมัย โสพันธ์  10%</t>
  </si>
  <si>
    <t>การออกแบบสภาพแวดล้อมภายในที่พักนักท่องเที่ยวที่สื่ออัตลักษณ์เชิงพื้นที่ เพื่อการท่องเที่ยวเชิงวัฒนธรรม กรณีศึกษา จังหวัดจันทบุรี</t>
  </si>
  <si>
    <t xml:space="preserve">ผู้ช่วยศาตราจารย์ปรีชญา ครูเกษตร  85%
</t>
  </si>
  <si>
    <t>10502/2565</t>
  </si>
  <si>
    <t>อาจารย์กิตติศักดิ์ เตชะกาญจนกิจ  5%</t>
  </si>
  <si>
    <t xml:space="preserve">อาจารย์ปิยะวรรค์ ปิ่นแก้ว  5%
</t>
  </si>
  <si>
    <t>อาจารย์ศุภโชค สนธิไชย 5%</t>
  </si>
  <si>
    <t>โครงการออกแบบสื่อประชาสัมพันธ์เพื่ออนุรักษ์รูปแบบสถาปัตยกรรมและวัฒนธรรมของชาวไทยทรงดำบ้านหัวเขาจีน จังหวัดราชบุรี</t>
  </si>
  <si>
    <t xml:space="preserve">ผู้ช่วยศาสตราจารย์กันยพัชร์ ธนกุลวุฒิโรจน์  35%
</t>
  </si>
  <si>
    <t>10491/2565</t>
  </si>
  <si>
    <t xml:space="preserve">ผู้ช่วยศาสตราจารย์วินัย หมั่นคติธรรม  10%
</t>
  </si>
  <si>
    <t xml:space="preserve">อาจารย์ดวงใจ ลิ้มศักดิ์ศรี  5%
</t>
  </si>
  <si>
    <t xml:space="preserve">อาจารย์วิสุทธิ์ ศิริพรนพคุณ  45%
</t>
  </si>
  <si>
    <t>อาจารย์นราทัศน์ ประมวลสุข  5%</t>
  </si>
  <si>
    <t>การยกระดับตราสัญลักษณ์และบรรจุภัณฑ์เพื่อส่งเสริมผลิตภัณฑ์กลุ่มธุรกิจสินค้าสปา บนฐานภูมิปัญญาท้องถิ่นและวัฒนธรรมชุมชน จังหวัดระนอง</t>
  </si>
  <si>
    <t>งบประมาณภายใน (แผ่นดิน)</t>
  </si>
  <si>
    <t xml:space="preserve">
</t>
  </si>
  <si>
    <t xml:space="preserve">อาจารย์ ดร.ไกรพ เจริญโสภา  60%
</t>
  </si>
  <si>
    <t>ทุนวิจัยด้านวิทยาศาสตร์ วิจัย และนวัตกรรม (ววน.)</t>
  </si>
  <si>
    <t>งป 11033/2565</t>
  </si>
  <si>
    <t>ผู้ช่วยศาสตราจารย์ ดร.วัฒน์ พลอยศรี  40%</t>
  </si>
  <si>
    <t>การยกระดับตราสัญลักษณ์และบรรจุภัณฑ์เพื่อสร้างมาตรฐานสินค้าสําหรับการท่องเที่ยว Green Travel สู่การเพิ่มขีดความสามารถในการแข่งขันได้อย่างยั่งยืน จังหวัดอุดรธานี</t>
  </si>
  <si>
    <t>อาจารย์ ดร.ไกรพ เจริญโสภา  60%</t>
  </si>
  <si>
    <t>งป 11044/2565</t>
  </si>
  <si>
    <t>การพัฒนาพื้นที่ “วิถีถิ่น วิถีไทย บางคนที Model” ด้วยการนำอัตลักษณ์ด้านวัฒนธรรม ประเพณี และการจัดการทรัพยากรไปสู่สินค้าของฝากของที่ระลึกผ่านการท่องเที่ยวโดยชุมชนในการยกระดับเศรษฐกิจฐานรากแบบมีส่วนร่วมในจังหวัดสมุทรสงคราม</t>
  </si>
  <si>
    <t xml:space="preserve">รองศาสตราจารย์ ดร.วิทยา เมฆขำ  45%
</t>
  </si>
  <si>
    <t>งป 11060/2565</t>
  </si>
  <si>
    <t xml:space="preserve">อาจารย์ ดร.วลีรักษ์ สิทธิสม  5%
</t>
  </si>
  <si>
    <t xml:space="preserve">วิทยาลัยนวัตกรรมและการจัดการ
</t>
  </si>
  <si>
    <t xml:space="preserve">อาจารย์ ดร.ธรรมรักษ์ ศรีมารุต  5%
</t>
  </si>
  <si>
    <t xml:space="preserve">รองศาสตราจารย์ ดร. นิศากร สังวาระนที  5%
</t>
  </si>
  <si>
    <t xml:space="preserve">คณะวิทยาศาสตร์และเทคโนโลยี
</t>
  </si>
  <si>
    <t xml:space="preserve">อาจารย์นภาศรี สุวรรณโชติ  5%
</t>
  </si>
  <si>
    <t xml:space="preserve">คณะมนุษยศาสตร์และสังคมศาสตร์
</t>
  </si>
  <si>
    <t xml:space="preserve">อาจารย์ ดร.ณิชานันทน์ เสริมศรี  5%
</t>
  </si>
  <si>
    <t xml:space="preserve">คณะศิลปกรรมศาสตร์
</t>
  </si>
  <si>
    <t xml:space="preserve">ผู้ช่วยศาตราจารย์นภดล แช่มช้อย 5%
</t>
  </si>
  <si>
    <t xml:space="preserve">อาจารย์ ดร.ศิริเพ็ญ เยี่ยมจรรยา  5%
</t>
  </si>
  <si>
    <t xml:space="preserve">วิทยาลัยการจัดการอุตสาหกรรมบริการ
</t>
  </si>
  <si>
    <t xml:space="preserve">ผู้ช่วยศาสตราจารย์ ดร.ชนมภัทร โตระสะ  5%
</t>
  </si>
  <si>
    <t xml:space="preserve">รองศาสตราจารย์ ดร.ณรงค์ สังวาระนที  5%
</t>
  </si>
  <si>
    <t>อาจารย์อลิสา เมฆขำ  5%</t>
  </si>
  <si>
    <t>คณะมนุษยศาสตร์และสังคมศาสตร์</t>
  </si>
  <si>
    <t>ผศ.วีระ โชติธรรมาภรณ์ 5%</t>
  </si>
  <si>
    <t>พัฒนาผลิตภัณฑ์ชุมชนของกลุ่มชาติพันธุ์มอแกน บ้านเกาะเหลา จังหวัดระนอง บนฐานชุมชนวิถีพอเพียง</t>
  </si>
  <si>
    <t xml:space="preserve">รองศาตราจารย์ ดร.ฤดี นิยมรัตน์  50%
</t>
  </si>
  <si>
    <t>งป 11068/2565</t>
  </si>
  <si>
    <t>อาจารย์ดวงรัตน์ ด่านไทยนำ  50%</t>
  </si>
  <si>
    <t>คณะเทคโนโลยีอุตสาหกรรม</t>
  </si>
  <si>
    <t>พัฒนาการผลิตผลิตภัณฑ์กะปิของชุมชนบ้านเกาะเหลา จังหวัดระนอง</t>
  </si>
  <si>
    <t xml:space="preserve">รองศาตราจารย์ ดร.ฤดี นิยมรัตน์  85%
</t>
  </si>
  <si>
    <t>งป 11069/2565</t>
  </si>
  <si>
    <t xml:space="preserve">รองศาสตราจารย์ ดร. สมเกียรติ กอบัวแก้ว  5%
</t>
  </si>
  <si>
    <t xml:space="preserve">อาจารย์ ดร.ไสว ศิริทองถาวร  5%
</t>
  </si>
  <si>
    <t>ผู้ช่วยศาสตราจารย์ ดร. ศุภโยธิน ณ สงขลา 5%</t>
  </si>
  <si>
    <t>การสรางมูลคาเพิ่มดวยอัตลักษณสินคาและการพัฒนากลยุทธการออกแบบสื่อ ประชาสัมพันธเพื่อสงเสริมการตลาดใหกับผลิตภัณฑชุมชนบานเกาะเหลา จังหวัดระนอง</t>
  </si>
  <si>
    <t xml:space="preserve">อาจารย์ดวงรัตน์ ด่านไทยนำ  80%
</t>
  </si>
  <si>
    <t>งป 11070/2565</t>
  </si>
  <si>
    <t xml:space="preserve">รองศาสตราจารย์ ดร. นารีนาถ รักสุนทร  5%
</t>
  </si>
  <si>
    <t xml:space="preserve">ผู้ช่วยศาสตราจารย์จิติมา เสือทอง  5%
</t>
  </si>
  <si>
    <t xml:space="preserve">อาจารย์ ดร.ฟาริดา วิรุฬหผล  5%
</t>
  </si>
  <si>
    <t xml:space="preserve"> คณะศิลปกรรมศาสตร์
</t>
  </si>
  <si>
    <t>ผู้ช่วยศาสตราจารย์ ดร.พิบูล ไวจิตรกรรม  5%</t>
  </si>
  <si>
    <t>คณะศิลปกรรมศาสตร์</t>
  </si>
  <si>
    <t>การจัดการสวนปาล์มน้ำมันและผลิตภัณฑ์เกษตรแบบผสมผสานตามหลักปรัชญาเศรษฐกิจพอเพียงด้วยการผสมผสานเทคโนโลยีเพื่อเพิ่มความได้เปรียบทางการผลิตและการตลาด</t>
  </si>
  <si>
    <t xml:space="preserve">ผู้ช่วยศาสตราจารย์ ดร. ชนมภัทร โตระสะ  50%
</t>
  </si>
  <si>
    <t>งป 11130/2565</t>
  </si>
  <si>
    <t xml:space="preserve">อาจารย์ ดร.เศรษฐกาล โปร่งนุช  10%
</t>
  </si>
  <si>
    <t xml:space="preserve">อาจารย์ณัฐิดา จันหอม  10%
</t>
  </si>
  <si>
    <t xml:space="preserve">อาจารย์ปฏิญญาณ์ แสงอรุณ  10%
</t>
  </si>
  <si>
    <t xml:space="preserve">ผู้ช่ววยศาสตราจารย์ ดร.พิบูล ไวจิตรกรรม  10%
</t>
  </si>
  <si>
    <t>ผู้ช่วยศาสตราจารย์ ดร.กันยพัชร์ ธนกุลวุฒิโรจน์  10%</t>
  </si>
  <si>
    <t>การพัฒนาระบบจัดการนํ้าพลังงานแสงอาทิตย์ภายในสวนปาล์มนํ้ามัน</t>
  </si>
  <si>
    <t xml:space="preserve">ผู้ช่วยศาสตราจารย์ ดร. ชนมภัทร โตระสะ   90%
</t>
  </si>
  <si>
    <t>งป 11131/2565</t>
  </si>
  <si>
    <t>อาจารย์ ดร.ณิชานันทน์ เสริมศรี  10%</t>
  </si>
  <si>
    <t xml:space="preserve"> คณะศิลปกรรมศาสตร์</t>
  </si>
  <si>
    <t>การศึกษาแนวทางวิธีการเดินรถแทรกเตอร์ขนาดเล็กสําหรับตัดหญ้าเพื่อการลดต้นทุน</t>
  </si>
  <si>
    <t>อาจารย์เศรษฐกาล โปร่งนุช</t>
  </si>
  <si>
    <t>งป 11132/2565</t>
  </si>
  <si>
    <t>การวิเคราะห์อายุการเก็บผลิตภัณฑ์อาหารและผลผลิตการเกษตร เพื่อเพิ่มมูลค่าด้วยบรรจุภัณฑ์ศูนย์เรียนรู้การเพิ่มประสิทธิภาพการผลิตสินค้าเกษตรจังหวัด ระนอง</t>
  </si>
  <si>
    <t xml:space="preserve">อาจารย์ปฏิญญาณ์  แสงอรุณ 90%
</t>
  </si>
  <si>
    <t>อาจารย์อภิรักษ์ ธิตินฤมิต 10%</t>
  </si>
  <si>
    <t>นวัตกรรมเตาเผาถ่านไร้ควันและการผลิตถ่านชีวภาพจากเศษวัสดุปาล์มนํ้ามัน</t>
  </si>
  <si>
    <t xml:space="preserve">อาจารย์ณัฐิดา จันหอม  80%
</t>
  </si>
  <si>
    <t>งป 11134/2565</t>
  </si>
  <si>
    <t xml:space="preserve">อาจารย์ ดร.เปี่ยมจันทร์ ดวงมณี  5%
</t>
  </si>
  <si>
    <t xml:space="preserve">อาจารย์พิชา ศรีพระจันทร์  5%
</t>
  </si>
  <si>
    <t xml:space="preserve">วิทยาลัยสถาปัตยกรรมศาสตร์
</t>
  </si>
  <si>
    <t xml:space="preserve">ผู้ช่วยศาสตราจารย์ ดร.ศุภโยธิน ณ สงขลา  5%
</t>
  </si>
  <si>
    <t>ผู้ช่วยศาสตราจารย์ ดร.พรภวิษย์ บุญศรีเมือง  5%</t>
  </si>
  <si>
    <t>การคาดการณ์ผลผลิตปาล์มนํ้ามัน จ.ระนอง</t>
  </si>
  <si>
    <t xml:space="preserve">
</t>
  </si>
  <si>
    <t xml:space="preserve">ผู้ช่วยศาสตราจาร์ ดร. กันยพัชร์ ธนกุลวุฒิโรจน์  50%
</t>
  </si>
  <si>
    <t>งป 11136/2565</t>
  </si>
  <si>
    <t xml:space="preserve">อาจารย์วิสุทธิ์ ศิริพรนพคุณ 5%
</t>
  </si>
  <si>
    <t xml:space="preserve">อาจารย์นราทัศน์ ประมวลสุข  5%
</t>
  </si>
  <si>
    <t xml:space="preserve">ผู้ช่วยศาสตราจารย์วินัย หมั่นคติธรรม  5%
</t>
  </si>
  <si>
    <t xml:space="preserve">ผู้ช่วยศาสตราจารย์มรกต วรชัยรุ่งเรือง  15%
</t>
  </si>
  <si>
    <t xml:space="preserve"> คณะมนุษยศาสตร์และสังคมศาสตร์
</t>
  </si>
  <si>
    <t xml:space="preserve">อาจารย์ณยศ กุลพานิช  5%
</t>
  </si>
  <si>
    <t xml:space="preserve">ผู้ช่วยศาสตราจารย์วีระ โชติธรรมาภรณ์ 2%
</t>
  </si>
  <si>
    <t xml:space="preserve">ผู้ช่วยศาสตราจารย์อพิณญา มุ่งอ้อมกลาง  2%
</t>
  </si>
  <si>
    <t xml:space="preserve">อาจารย์พิชา ศรีพระจันทร์  2%
</t>
  </si>
  <si>
    <t xml:space="preserve">ผู้ช่วยศาสตราจารย์ ดร. ศิริลักษณ์ เกตุฉาย  2%
</t>
  </si>
  <si>
    <t xml:space="preserve"> คณะวิทยาศาสตร์และเทคโนโลยี
</t>
  </si>
  <si>
    <t>อาจารย์ศุภวรรณ พันธ์เกาะเลิ่ง  2%</t>
  </si>
  <si>
    <t>กลยุทธ์การออกแบบเพื่อสื่อสารกับผู้บริโภคยุคดิจิตอลสำหรับผลิตภัณฑ์อัตลักษณ์ชุมชน จังหวัดสมุทรสงคราม</t>
  </si>
  <si>
    <t xml:space="preserve">ผู้ช่วยศาสตราจารย์สุภัทรา ลูกรักษ์  90%
</t>
  </si>
  <si>
    <t>10709/2565</t>
  </si>
  <si>
    <t>ผู้ช่วยศาสตราจารย์พิบูล ไวจิตรกรรม  10%</t>
  </si>
  <si>
    <t>การออกแบบกราฟิกด้วยกลไกปัญญาประดิษฐ์เพื่อเพิ่มมูลค่าสินค้าตามแนวคิดเศรษฐกิจสร้างสรรค์ กรณีศึกษา : ของที่ระลึกประเภทสินค้าไลฟ์สไตล์ ตลาดน้ำอัมพวา จังหวัดสมุทรสงคราม</t>
  </si>
  <si>
    <t xml:space="preserve">ผู้ช่วยศาสตราจารย์ขวัญใจ สุขก้อน  35%
</t>
  </si>
  <si>
    <t>10684/2565</t>
  </si>
  <si>
    <t>อาจารย์เศรษฐกาล โปร่งนุช  25%</t>
  </si>
  <si>
    <t>ผู้ช่วยศาสตราจารย์จิติมา เสือทอง  5%</t>
  </si>
  <si>
    <t>ผู้ช่วยศาสตราจารย์สุภัทรา ลูกรักษ์ 5%</t>
  </si>
  <si>
    <t>ผู้ช่วยศาสตราจารย์ปรีชญา ครูเกษตร 5%</t>
  </si>
  <si>
    <t>อาจารย์ปิยะวรรค์ ปิ่นแก้ว  5%</t>
  </si>
  <si>
    <t>อาจารย์ศุภโชค สนธิไชย  5%</t>
  </si>
  <si>
    <t>ผู้ช่วยศาสตราจารย์จิตราวดี รุ่งอินทร์ กันกา  5%</t>
  </si>
  <si>
    <t>อาจารย์อภิรักษ์ ธิตินฤมิต  5%</t>
  </si>
  <si>
    <t>เศรษฐกิจสร้างสรรค์บนฐานงานสถาปัตยกรรมในพื้นที่เขตดุสิต กรุงเทพมหานคร</t>
  </si>
  <si>
    <t xml:space="preserve">อาจารย์เปี่ยมจันทร์ ดวงมณี  70%
</t>
  </si>
  <si>
    <t xml:space="preserve"> คณะเทคโนโลยีอุตสาหกรรม
</t>
  </si>
  <si>
    <t>10842/2565</t>
  </si>
  <si>
    <t>อาจารญ์ศิริวรรณ ศักดิ์ศิริฤทัย  10%</t>
  </si>
  <si>
    <t xml:space="preserve"> คณะวิทยาการจัดการ</t>
  </si>
  <si>
    <t>ผู้ช่วยศาสตราจารย์จิตราวดี รุ่งอินทร์ กันกา   10%</t>
  </si>
  <si>
    <t>อาจารย์ธงชัย ทองมา  10%</t>
  </si>
  <si>
    <t>การใช้หลักการบริหารทรัพยากรอาคาร สถานที่ในงานสถาปัตยกรรม เพื่อส่งเสริมเศรษฐกิจสร้างสรรค์ ในพื้นที่เขตดุสิต กรุงเทพมหานคร</t>
  </si>
  <si>
    <t>อาจารย์เปี่ยมจันทร์ ดวงมณี</t>
  </si>
  <si>
    <t>10853/2565</t>
  </si>
  <si>
    <t>การจัดการด้านความปลอดภัยในการทำงาน : กรณีศึกษา กระบวนการผลิตน้ำตาลมะพร้าว</t>
  </si>
  <si>
    <t>ผู้ช่วยศาสตราจารย์อรัญ ขวัญปาน  35%</t>
  </si>
  <si>
    <t>10605/2565</t>
  </si>
  <si>
    <t>ผู้ช่วยศาสตราจารย์รุจิพรรณ แฝงจันดา  20%</t>
  </si>
  <si>
    <t>ผู้ช่วยศาสตราจารย์ณัฐพร อารีรัชชกุล  15%</t>
  </si>
  <si>
    <t>อาจารย์ธรรมรักษ์ ศรีมารุต  15%</t>
  </si>
  <si>
    <t>อาจารย์เศรษฐกาล โปร่งนุช  15%</t>
  </si>
  <si>
    <t>การศึกษาเปรียบเทียบมูลค่าทางเศรษฐกิจของการแปรสภาพขยะให้เป็นพลังงานไฟฟ้ากับการใช้ประโยชน์ทุกมิติ</t>
  </si>
  <si>
    <t xml:space="preserve">ผู้ช่วยศาสตราจารย์อธิสมัย โสพันธ์ 70%
</t>
  </si>
  <si>
    <t>10946/2565</t>
  </si>
  <si>
    <t>อาจารย์ณรงค์ ณรงค์รัตน์ 15%</t>
  </si>
  <si>
    <t>อาจารย์ณัฐิดา จันหอม  15%</t>
  </si>
  <si>
    <t>สร้างสื่อประชาสัมพันธ์อาคารพื้นถิ่นลาวเวียง ตำบลบ้านเลือก อำเภอโพธาราม จังหวัดราชบุรี</t>
  </si>
  <si>
    <t>อาจารย์ดวงใจ ลิ้มศักดิ์ศรี  80%</t>
  </si>
  <si>
    <t>10510/2565</t>
  </si>
  <si>
    <t>ผู้ช่วยศาสตราจาร์ ดร.กันยพัชร์ ธนกุลวุฒิโรจน์  5%</t>
  </si>
  <si>
    <t>ผู้ช่วยศาสตราจารย์วินัย หมั่นคติธรรม  5%</t>
  </si>
  <si>
    <t>อาจารย์วิสุทธิ์ ศิริพรนพคุณ  5%</t>
  </si>
  <si>
    <t>การจัดการทรัพยากรกายภาพอาคาร รพ.สต.คลองโยง 2  เพื่อรองรับการจัดตั้งศูนย์การเรียนรู้การออกแบบและพัฒนาอัตลักษณ์ผลิตภัณฑ์ชุมชนคลองโยง.จังหวัดนครปฐม</t>
  </si>
  <si>
    <t xml:space="preserve">ผู้ช่วยศาสตราจารย์จิตราวดี รุ่งอินทร์ กันกา  70%
</t>
  </si>
  <si>
    <t>10530/2565</t>
  </si>
  <si>
    <t>อาจารย์ธงชัย ทองมา   20%</t>
  </si>
  <si>
    <t>อาจารย์พิชา ศรีพระจันทร์  5%</t>
  </si>
  <si>
    <t>วิทยาลัยสถาปัตยกรรมศาสตร์</t>
  </si>
  <si>
    <t>อาจารย์เปี่ยมจันทร์ ดวงมณี  5%</t>
  </si>
  <si>
    <t>โครงการออกแบบของที่ระลึกเซรามิกโดยใช้เปลือกหอยแมลงภู่เป็นวัตถุดิบสำหรับมูลนิธิฟื้นฟูทรัพยากร ทะเลสยาม</t>
  </si>
  <si>
    <t>ผู้ช่วยศาสตราจารย์สุรพันธุ์ รัตนาวะดี</t>
  </si>
  <si>
    <t>10900/2565</t>
  </si>
  <si>
    <t>รองศาสตราจารย์ ดร.จง บุญประชา</t>
  </si>
  <si>
    <t>อาจารย์จิรวุฒิ ด้วงอินทร์</t>
  </si>
  <si>
    <t>โครงการเสนอแนะการออกแบบตกแต่งภายในศูนย์บำบัดสุขภาพด้วยวิธี ธรรมชาติจากเกลือ จ.สมุทรสงคราม</t>
  </si>
  <si>
    <t xml:space="preserve">อาจารย์ปิยะวรรค์ ปิ่นแก้ว70%
</t>
  </si>
  <si>
    <t>10920/2565</t>
  </si>
  <si>
    <t>อาจารย์ศุภโชค สนธิไชย 10%</t>
  </si>
  <si>
    <t>ผู้ช่วยศาสตราจารย์ปรีชญา ครูเกษตร 10%</t>
  </si>
  <si>
    <t>อาจารย์กิตติศักดิ์ เตชะกาญจนกิจ  10%</t>
  </si>
  <si>
    <t>ระบบปลูกผักไฮโดรโปนิกส์แนวตั้งควบคุมผ่านสมาร์ทโฟน</t>
  </si>
  <si>
    <t xml:space="preserve">อาจารย์อภิรักษ์ ธิตินฤมิต  50%
</t>
  </si>
  <si>
    <t>10493/2565</t>
  </si>
  <si>
    <t>ผู้ช่วยศาสตราจารย์ชนมภัทร โตระสะ  40%</t>
  </si>
  <si>
    <t>อาจารย์ณิชานันทน์ เสริมศรี 5%</t>
  </si>
  <si>
    <t>อาจารย์กฤษกร อินต๊ะวิชัย  5%</t>
  </si>
  <si>
    <t>กลยุทธ์การออกแบบสื่อประชาสัมพันธ์และมัลติมีเดีย เพื่อเพิ่มช่องทางการจัด จำหน่ายสินค้าแปรรูปทางการเกษตรของศูนย์การเรียนรู้การเพิ่มประสิทธิภาพการผลิตสินค้า การเกษตร จ.ระนอง</t>
  </si>
  <si>
    <t xml:space="preserve">ผู้ช่วยศาสตราจารย์พิบูล ไวจิตรกรรม 60%
</t>
  </si>
  <si>
    <t>ทุนวิจัยด้านวิทยาศาสตร์ วิจัยและนวัตกรรม (ววน.)</t>
  </si>
  <si>
    <t>งป 11135/2565</t>
  </si>
  <si>
    <t>ผู้ช่วยศาสตราจารย์ขวัญใจ สุขก้อน  10%</t>
  </si>
  <si>
    <t>อาจารย์ดวงรัตน์ ด่านไทยนำ  10%</t>
  </si>
  <si>
    <t>ผู้ช่วยศาสตราจารย์จิติมา เสือทอง  10%</t>
  </si>
  <si>
    <t>ผู้ช่วยศาสตราจารย์สุภัทรา ลูกรักษ์  10%</t>
  </si>
  <si>
    <t>หมึกพิมพ์ออฟเซตฐานน้ำมันเมล็ดดอกทานตะวัน</t>
  </si>
  <si>
    <t>อาจารย์ ดร.ไกรพ เจริญโสภา60%</t>
  </si>
  <si>
    <t>11003/2565</t>
  </si>
  <si>
    <t>ผศ.ดร.วัฒน์ พลอยศรี 40%</t>
  </si>
  <si>
    <t>ศึกษาและออกแบบสื่อประชาสัมพันธ์รูปแบบสถาปัตยกรรมบ้านมอญโบราณ อำเภอโพธาราม จังหวัดราชบุรี</t>
  </si>
  <si>
    <t>อาจารย์ ดวงใจ ลิ้มศักดิ์ศรี 80%</t>
  </si>
  <si>
    <t>10513/2565</t>
  </si>
  <si>
    <t>ผศ.ดร.กันยพัชร์ ธนกุลวุฒิโรจน์ 5%</t>
  </si>
  <si>
    <t>อาจารย์ นราทัศน์ ประมวลสุข 5%</t>
  </si>
  <si>
    <t>ผศ.วินัย หมั่นคติธรรม 5%</t>
  </si>
  <si>
    <t>อาจารย์ วิสุทธิ์ ศิริพรนพคุณ 5%</t>
  </si>
  <si>
    <t>การพัฒนาระบบตรวจสอบความผิดปกติของตัวอักษรบนงานที่พิมพ์ด้วยการประมวลผลภาพแบบอัตโนมัติ</t>
  </si>
  <si>
    <t>บริษัททีเอ็ม เมนเทนแนนซ์ เทรดดิ้ง จำกัด</t>
  </si>
  <si>
    <t>อาจารย์ทศพล นาคย้อย</t>
  </si>
  <si>
    <t>28 กุมภาพันธ์ 2565</t>
  </si>
  <si>
    <t xml:space="preserve">โครงการจ้างที่ปรึกษาโครงการวิจัยการศึกษาคุณภาพชีวิตและประสบการณ์ของนักศึกษามหาวิทยาลัยศิลปากร พ.ศ. 2564 </t>
  </si>
  <si>
    <t>มหาวิทยาลัยศิลปากร</t>
  </si>
  <si>
    <t>อาจารย์ ดร.ธงชัย ทองมา  50%</t>
  </si>
  <si>
    <t>สวพ.1-2565</t>
  </si>
  <si>
    <t>ผู้ช่วยศาสตราจารย์สุรพันธุ์ รัตนาวะดี  25%</t>
  </si>
  <si>
    <t>ผู้ช่วยศาสตราจารย์จิตราวดี รุ่งอินทร์ กันกา  25%</t>
  </si>
  <si>
    <t>ตู้ต้นแบบขนาดเล็กสำหรับดูแลต้นสตรอว์เบอร์รีควบคุมผ่านเว็บแอปพลิเคชัน</t>
  </si>
  <si>
    <t>อาจารย์ ดร.รวิ อุตตมธนินทร์ 50%</t>
  </si>
  <si>
    <t>10786/2565</t>
  </si>
  <si>
    <t>อาจารย์ ดร.เศรษฐกาล โปร่งนุช 10%</t>
  </si>
  <si>
    <t>ผศ.ขวัญเรือน รัศมี 10%</t>
  </si>
  <si>
    <t>อาจารย์ วรณัน วรมงคล 10%</t>
  </si>
  <si>
    <t>ผศ.จิตราวดี รุ่งอินทร์ กันกา 10%</t>
  </si>
  <si>
    <t>ผศ.ดร.พรภวิษย์ บุญศรีเมือง 10%</t>
  </si>
  <si>
    <t>แนวทางการจัดการเรียนแบบวิถีปกติใหม่สำหรับการจัดการเรียนรู้รายวิชาวิทยาศาสตร์</t>
  </si>
  <si>
    <t>ผู้ช่วยศาสตราจารย์ ดร.สุมาลี เทียนทองดี</t>
  </si>
  <si>
    <t xml:space="preserve"> คณะครุศาสตร์</t>
  </si>
  <si>
    <t>10607/2565</t>
  </si>
  <si>
    <t>Development of Presentation Skills for 4-Year English Majors by Using Task-Based Instruction</t>
  </si>
  <si>
    <t>อาจารย์ ABIGAIL MELAD ESSIEN</t>
  </si>
  <si>
    <t>11021/2565</t>
  </si>
  <si>
    <t>รูปแบบการพัฒนาสมรรถนะด้านการจัดการการสอนของครู ผ่านกระบวนการชุมชนแห่งการเรียนรู้ทางวิชาชีพ ในโรงเรียนขนาดเล็ก</t>
  </si>
  <si>
    <t xml:space="preserve">ผู้ช่วยศาสตราจารย์กรกมล ชูช่วย  80%
</t>
  </si>
  <si>
    <t xml:space="preserve"> คณะครุศาสตร์
</t>
  </si>
  <si>
    <t>10865/2565</t>
  </si>
  <si>
    <t>อาจารย์ ดร.สุดารัตน์ ศรีมา  20%</t>
  </si>
  <si>
    <t>รูปแบบการจัดการเรียนรู้แบบไฮบริดที่เสริมสร้างสมรรถนะด้านการพัฒนาสื่อนวัตกรรมการเรียนรู้ของนักศึกษาวิชาชีพครู</t>
  </si>
  <si>
    <t>ผู้ช่วยศาสตราจารย์ ดร.ทับทิมทอง กอบัวแก้ว  80%.</t>
  </si>
  <si>
    <t>10579/2565</t>
  </si>
  <si>
    <t>รองศาสตราจาร์ ดร. สมเกียรติ กอบัวแก้ว  20%</t>
  </si>
  <si>
    <t>การส่งเสริมสมรรถนะการสร้างนวัตกรรมการเรียนรู้ภาษาอังกฤษของนักศึกษาโดยใช้รูปแบบการเรียนรู้แบบไฮบริดกับการโค้ชแบบเพื่อนช่วยเพื่อน</t>
  </si>
  <si>
    <t>อาจารย์ธีราภรณ์ พลายเล็ก</t>
  </si>
  <si>
    <t>10615/2565</t>
  </si>
  <si>
    <t>การยกระดับการจัดการเรียนรู้เพื่อพัฒนาทักษะในศตวรรษที่ 21 ของโรงเรียนขนาดเล็ก  สังกัดสำนักงานเขตพื้นที่การศึกษาประถมศึกษานครนายก</t>
  </si>
  <si>
    <t>รองศาสตราจารย์ ดร.นันทิยา น้อยจันทร์</t>
  </si>
  <si>
    <t>10780/2565</t>
  </si>
  <si>
    <t>ถอดบทเรียนกระบวนการกลายเป็นครูมืออาชีพระดับการศึกษาขั้นพื้นฐาน</t>
  </si>
  <si>
    <t xml:space="preserve">ผู้ช่วยศาสตราจารย์ ดร.บุญฤดี อุดมผล  60%
</t>
  </si>
  <si>
    <t>11013/2565</t>
  </si>
  <si>
    <t xml:space="preserve">ผู้ช่วยศาสตราจารย์ ดร.สมหมาย ปวะบุตร  10%
</t>
  </si>
  <si>
    <t xml:space="preserve">ผู้ช่วยศาสตราจารย์สงกรานณ์ ขุนทิพย์ทอง 10%
</t>
  </si>
  <si>
    <t xml:space="preserve">อาจารย์มาลัย ประดับศรี  10%
</t>
  </si>
  <si>
    <t>อาจารย์เอกภพ อินทรภู่  10%</t>
  </si>
  <si>
    <t>การพัฒนาสมรรถนะวิจัยของนักศึกษาครูสาขาวิชาการศึกษาปฐมวัย ด้วยกระบวนการโค้ชซึ่งกันและกัน</t>
  </si>
  <si>
    <t xml:space="preserve">ผู้ช่วยศาสตราจารย์สิริมณี บรรจง  60%
</t>
  </si>
  <si>
    <t>11016/2565</t>
  </si>
  <si>
    <t xml:space="preserve">อาจารย์ณัฐกา สุทธิธนกูล  20%
</t>
  </si>
  <si>
    <t>อาจารย์พัชราภรณ์ พิลาสมบัติ  20%</t>
  </si>
  <si>
    <t>การพัฒนาสมรรถนะการเขียนของนักศึกษาชั้นปีที่1 สาขาวิชาภาษาไทย โดยใช้แนวคิดการฝึกทางปัญญาจากต้นแบบร่วมกับการให้ข้อมูลย้อนกลับแบบ 360 องศา</t>
  </si>
  <si>
    <t xml:space="preserve">อาจารย์สิริอร จุลทรัพย์ แก้วมรกฎ  80%
</t>
  </si>
  <si>
    <t>11007/2565</t>
  </si>
  <si>
    <t xml:space="preserve">อาจารย์เสาวลักษณ์ แซ่ลี้  10%
</t>
  </si>
  <si>
    <t>อาจารย์อาทิมา พงศ์ไพบูลย์  10%</t>
  </si>
  <si>
    <t xml:space="preserve"> คณะมนุษยศาสตร์และสังคมศาสตร์</t>
  </si>
  <si>
    <t>การสร้างนิทานคุณธรรมจริยธรรมของนักศึกษาครูสาขาวิชาการศึกษาปฐมวัย คณะครุศาสตร์ มหาวิทยาลัยราชภัฏสวนสุนันทา โดยใช้การจัดการเรียนรู้แบบย้อนกลับ</t>
  </si>
  <si>
    <t xml:space="preserve">ผู้ช่วยศาสตราจารย์สุพันธ์วดี ไวยรูป  80%
</t>
  </si>
  <si>
    <t>10697/2565</t>
  </si>
  <si>
    <t>ผู้ช่วยศาสตราจารย์ ภาวิณี โฆมานะสิน  20%</t>
  </si>
  <si>
    <t>การพัฒนาแบบทดสอบเชิงสถานการณ์เพื่อวัดสมรรถนะการให้คำปรึกษาวัยรุ่นของนักศึกษาฝึกประสบการณ์ทางวิชาชีพครู</t>
  </si>
  <si>
    <t>อาจารย์เพียงฤทัย พุฒิคุณเกษม</t>
  </si>
  <si>
    <t>11019/2565</t>
  </si>
  <si>
    <t>การประเมินความต้องการจำเป็นในการพัฒนาสมรรถนะการเขียนเพื่อการสื่อสารของนักศึกษาชั้นปีที่ 1 สาขาวิชาภาษาไทย</t>
  </si>
  <si>
    <t xml:space="preserve">อาจารย์ธิดาดาว เดชศรี  60%
</t>
  </si>
  <si>
    <t>11014/2565</t>
  </si>
  <si>
    <t>ผู้ช่วยศาสตราจารย์ ดร.วิภาวรรณ เอกวรรณัง  40%</t>
  </si>
  <si>
    <t>การพัฒนาศักยภาพของนักศึกษาครูในการสร้างสรรค์ผลงานโดยใช้รูปแบบการเรียนรู้เชิงผลิตภาพและกระบวนการพัฒนาสติปัญญาของบลูมสู่การเป็นครูมืออาชีพแห่งศตวรรษที่ 21</t>
  </si>
  <si>
    <t xml:space="preserve">ผู้ช่วยศาสตราจารย์ ดร.สุทธิพงศ์ บุญผดุง  50%
</t>
  </si>
  <si>
    <t>10566/2565</t>
  </si>
  <si>
    <t>อาจารย์พิณทิพา สืบแสง   50%</t>
  </si>
  <si>
    <t>การพัฒนาความสามารถของนักศึกษาครูในการสร้างสรรค์งานเขียนภาษาอังกฤษโดยใช้รูปแบบการเรียนรู้เชิงผลิตภาพร่วมกับกระบวนการพัฒนาสติปัญญาของบลูม</t>
  </si>
  <si>
    <t>อาจารย์พิณทิพา สืบแสง</t>
  </si>
  <si>
    <t>10568/2565</t>
  </si>
  <si>
    <t>การพัฒนาหลักสูตรเสริมสร้างสมรรถนะการให้คำปรึกษาวัยรุ่นสำหรับนักศึกษาฝึกประสบการณ์วิชาชีพครู</t>
  </si>
  <si>
    <t xml:space="preserve">อาจารย์สุทธิพร แท่นทอง  40%
</t>
  </si>
  <si>
    <t xml:space="preserve"> คณะครุศาสตร์
 </t>
  </si>
  <si>
    <t>11018/2565</t>
  </si>
  <si>
    <t xml:space="preserve">อาจารย์ธีรารัตน์ ทิพย์จรัสเมธา  20%
</t>
  </si>
  <si>
    <t xml:space="preserve">อาจารย์กุลทราภรณ์ สุพงษ์  20%
</t>
  </si>
  <si>
    <t>อาจารย์เพียงฤทัย พุฒิคุณเกษม  20%</t>
  </si>
  <si>
    <t>การพัฒนาสมรรถนะการให้คำปรึกษาวัยรุ่นของนักศึกษาฝึกประสบการณ์วิชาชีพครูโดยใช้โปรแกรมฝึกอบรมแบบผสมผสานตามแนวคิดการเรียนรู้เพื่อการเปลี่ยนแปลง</t>
  </si>
  <si>
    <t>11009/2565</t>
  </si>
  <si>
    <t>การพัฒนารูปแบบการสอนการเขียนโดยใช้แนวคิดการฝึกทางปัญญาจากต้นแบบร่วมกับการให้ข้อมูลย้อนกลับแบบ 360 องศา สำหรับนักศึกษาสาขาวิชาภาษาไทย</t>
  </si>
  <si>
    <t xml:space="preserve">อาจารย์สุมนา เขียนนิล  50%
</t>
  </si>
  <si>
    <t>11015/2565</t>
  </si>
  <si>
    <t>ผู้ช่วยศาสตราจารย์ ดร.ทัศนีย์ เศรษฐพงษ์  50%</t>
  </si>
  <si>
    <t>การจัดการการเรียนรู้เชิงรุกบนแพลตฟอร์มห้องเรียนออนไลน์: การจัดการเรียนรู้แบบสืบเสาะหาความรู้ 5 ขั้น ตามแนวทางห้องเรียนกลับด้าน</t>
  </si>
  <si>
    <t xml:space="preserve">ผู้ช่วยศาสตราจารย์ ดร.เจษฎา ราษฎร์นิยม  70%
</t>
  </si>
  <si>
    <t>10535/2565</t>
  </si>
  <si>
    <t>ผู้ช่วยศาสตราจารย์ ดร.กรกมล ชูช่วย  30%</t>
  </si>
  <si>
    <t>ผลการใช้เทคนิคการตั้งคำถามร่วมกับการให้ข้อมูลย้อนกลับในการจัดการเรียนรู้แบบออนไลน์ที่มีต่อผลสัมฤทธิ์ทางการเรียนวิชาคณิตศาสตร์ของนักศึกษาชั้นปีที่ 1 สาขาวิชาคณิตศาสตร์ คณะครุศาสตร์ มหาวิทยาลัยราชภัฏกลุ่มรัตนโกสินทร์</t>
  </si>
  <si>
    <t xml:space="preserve">ผู้ช่วยศาสตราจารย์ธนวัฒน์ ศรีศิริวัฒน์  80%
</t>
  </si>
  <si>
    <t>10722/2565</t>
  </si>
  <si>
    <t xml:space="preserve">รองศาสตราจารย์ ดร. สมเกียรติ กอบัวแก้ว  10%
</t>
  </si>
  <si>
    <t>ผู้ช่วยศาสตราจารย์ปุณยพล จันทร์ฝอย  10%</t>
  </si>
  <si>
    <t>การพัฒนารูปแบบการเรียนรู้แบบปลั๊กอินไฮบริดเพื่อส่งเสริมความรู้ด้านการใช้ภาษาอังกฤษในงานวิชาการสำหรับนักศึกษาครู</t>
  </si>
  <si>
    <t>อาจารย์ธรรศนันต์ อุนนะนันทน์</t>
  </si>
  <si>
    <t>10608/2565</t>
  </si>
  <si>
    <t>การศึกษาผลการจัดการเรียนรู้แบบออนไลน์ของนักศึกษาสาขาวิชาคณิตศาสตร์ชั้นปีที่ 1 คณะครุศาสตร์ มหาวิทยาลัยราชภัฏสวนสุนันทา</t>
  </si>
  <si>
    <t xml:space="preserve">ผู้ช่วยศาสตราจารย์ปุณยพล จันทร์ฝอย   80%
</t>
  </si>
  <si>
    <t>10597/2565</t>
  </si>
  <si>
    <t xml:space="preserve">อาจารย์ ดร.สุรนนท์ เย็นศิริ  10%
</t>
  </si>
  <si>
    <t>ผู้ช่วยศาสตราจารย์ธนวัฒน์ ศรีศิริวัฒน์  10%</t>
  </si>
  <si>
    <t>การพัฒนารูปแบบการจัดการเรียนรู้แบบไฮบริดโดยการใช้การจัดนิทรรศการเสมือนจริงสำหรับนักศึกษาสาขาเทคโนโลยีดิจิทัล มหาวิทยาลัยราชภัฏสวนสุนันทา</t>
  </si>
  <si>
    <t>อาจารย์ ดร.ศิลป์ชัย พูลคล้าย</t>
  </si>
  <si>
    <t>10590/2565</t>
  </si>
  <si>
    <t>การพัฒนาความสามารถในการสร้างสรรค์งานวิจัยของนักศึกษาครู โดยใช้รูปแบบการเรียนรู้เชิงผลิตภาพร่วมกับกระบวนการพัฒนาสติปัญญาของบลูม</t>
  </si>
  <si>
    <t>ผู้ช่วยศาสตราจารย์ ดร.สุทธิพงศ์ บุญผดุง</t>
  </si>
  <si>
    <t>10567/2565</t>
  </si>
  <si>
    <t>การใช้รูปแบบการเรียนรู้แบบไฮบริดปลั๊กอิน ในยุควิถีใหม่ของการเรียนรู้</t>
  </si>
  <si>
    <t xml:space="preserve">อาจารย์ชัยวัฒน์ จิวพานิชย์  80%
</t>
  </si>
  <si>
    <t>10585/2565</t>
  </si>
  <si>
    <t>ผู้ช่วยศาสตราจารย์เสถียร จันทร์ปลา  10%</t>
  </si>
  <si>
    <t>อาจารย์บุตรศิรินทร์ จิวพานิชย์ 10%</t>
  </si>
  <si>
    <t xml:space="preserve"> โรงเรียนประถมสาธิต</t>
  </si>
  <si>
    <t>ผลการพัฒนาทักษะการจัดกิจกรรมทางคณิตศาสตร์แบบออนไลน์ โดยใช้วิจัยเป็นฐาน ของนักศึกษาครูคณิตศาสตร์ คณะครุศาสตร์ มหาวิทยาลัยราชภัฏสวนสุนันทา</t>
  </si>
  <si>
    <t>อาจารย์ช่อเอื้อง อุทิตะสาร</t>
  </si>
  <si>
    <t>10723/2565</t>
  </si>
  <si>
    <t>การพัฒนาสมรรถนะการสร้างนวัตกรรมเพื่อส่งเสริมคุณธรรมจริยธรรมของนักศึกษาครู คณะครุศาสตร์ มหาวิทยาลัยราชภัฏสวนสุนันทา</t>
  </si>
  <si>
    <t>ผู้ช่วยศาสตราจารย์กรรณิการ์ ภิรมย์รัตน์</t>
  </si>
  <si>
    <t>10677/2565</t>
  </si>
  <si>
    <t>การพัฒนาเครื่องมือประเมินสมรรถนะการสร้างนวัตกรรมเพื่อส่งเสริมคุณธรรมจริยธรรมของนักศึกษาครู คณะครุศาสตร์ มหาวิทยาลัยราชภัฏสวนสุนันทา</t>
  </si>
  <si>
    <t>10693/2565</t>
  </si>
  <si>
    <t>การสร้างเกมประกอบการสอนเพื่อส่งเสริมคุณธรรม จริยธรรมของนักศึกษาครูสาขาวิชาสังคมศึกษา คณะครุศาสตร์ มหาวิทยาลัยราชภัฏสวนสุนันทา  โดยใช้การจัดการเรียนรู้แบบโครงงานเป็นฐาน</t>
  </si>
  <si>
    <t>อาจารย์วีรพจน์ รัตนวาร</t>
  </si>
  <si>
    <t>10730/2565</t>
  </si>
  <si>
    <t>การพัฒนาทักษะการเรียนรู้แห่งศตวรรษที่ 21 โดยการจัดการเรียนรู้แบบ Active learning โรงเรียนขนาดเล็ก</t>
  </si>
  <si>
    <t xml:space="preserve">อาจารย์สุดารัตน์ ศรีมา  80%
</t>
  </si>
  <si>
    <t>10875/2565</t>
  </si>
  <si>
    <t>ผู้ช่วยศาสตราจารย์กรกมล ชูช่วย  20%</t>
  </si>
  <si>
    <t>การพัฒนาสมรรถนะวิจัยของนักศึกษาครู สาขาวิชาการศึกษาปฐมวัย คณะครุศาสตร์    มหาวิทยาลัยราชภัฎสวนสุนันทา</t>
  </si>
  <si>
    <t>อาจารย์ดวงกมล จงเจริญ</t>
  </si>
  <si>
    <t>11008/2565</t>
  </si>
  <si>
    <t>การพัฒนาสมรรถนะวิจัยของนักศึกษาครู สาขาวิชาการศึกษาปฐมวัย ผ่านกระบวนการสืบสอบแบบร่วมมือ</t>
  </si>
  <si>
    <t xml:space="preserve">อาจารย์ดวงกมล จงเจริญ  60%
</t>
  </si>
  <si>
    <t>11017/2565</t>
  </si>
  <si>
    <t>อาจารย์ธิติกาญจน์ ฐิติโสภณศักดิ์  20%</t>
  </si>
  <si>
    <t>อาจารย์ดิษิรา ผางสง่า  20%</t>
  </si>
  <si>
    <t>การพัฒนาสมรรถนะนักศึกษาครูสาขาวิชาภาษาอังกฤษโดยใช้การสอนแบบเน้นภาระงาน</t>
  </si>
  <si>
    <t>อาจารย์วิภาดา ประสารทรัพย์</t>
  </si>
  <si>
    <t>11010/2565</t>
  </si>
  <si>
    <t>การศึกษากลวิธีสอนที่ส่งผลต่อสมรรถนะของนักศึกษาครุศาสตรบัณฑิต สาขาวิชาคณิตศาสตร์ (หลักสูตรปรับปรุง พ.ศ.2562) มหาวิทยาลัยราชภัฏสวนสุนันทา</t>
  </si>
  <si>
    <t xml:space="preserve">	ผู้ช่วยศาสตราจารย์ตีรวิชช์ ทินประภา 50%</t>
  </si>
  <si>
    <t>11023/2565</t>
  </si>
  <si>
    <t>อาจารย์ ดร.สุรนนท์ เย็นศิริ 50%</t>
  </si>
  <si>
    <t>การพัฒนาบทเรียนมัลติมีเดียร่วมกับเทคโนโลยีเสมือนจริง AR โดยใช้การจัดการเรียนรู้แบบ 5E เพื่อพัฒนาผลสัมฤทธ์ทางการเรียน เรื่อง ดาราศาสตร์และอวกาศของนักเรียนชั้นมัธยมศึกษาปีที่3 โรงเรียนกุศลศึกษา</t>
  </si>
  <si>
    <t>อาจารย์ ดร.ธัชชา ศุกระจันทร์ 70%</t>
  </si>
  <si>
    <t>10641/2565</t>
  </si>
  <si>
    <t>อาจารย์ ดร.พันทิพา พงศ์สัมพันธ์ 30%</t>
  </si>
  <si>
    <t>การพัฒนาความสามารถในการอ่านบทความวิจัยภาษาอังกฤษของนักศึกษาครูสาขาวิชาภาษาอังกฤษโดยใช้วิธีสอนแบบเน้นภาระงาน</t>
  </si>
  <si>
    <t>ผู้ช่วยศาสตราจารย์ ดร.วิภาดา ประสารทรัพย์ 100%</t>
  </si>
  <si>
    <t>11020/2565</t>
  </si>
  <si>
    <t>การประเมินสมรรถนะของนักศึกษาคณะครุศาสตร์ ตามหลักสูตรครุศาสตรบัณฑิต สาขาวิชาคณิตศาสตร์ (หลักสูตรปรับปรุง พ.ศ.2562)</t>
  </si>
  <si>
    <t>ผู้ช่วยศาสตราจารย์ตีรวิชช์ ทินประภา 100%</t>
  </si>
  <si>
    <t>11011/2565</t>
  </si>
  <si>
    <t>การประเมินสมรรถนะของนักศึกษาครุศาสตรบัณฑิต สาขาวิชาคณิตศาสตร์ (หลักสูตรปรับปรุง พ.ศ.2562) มหาวิทยาลัยราชภัฏสวนสุนันทา</t>
  </si>
  <si>
    <t>ผู้ช่วยศาสตราจารย์ ดร.ธนัชยศ จำปาหวาย 50%</t>
  </si>
  <si>
    <t>11022/2565</t>
  </si>
  <si>
    <t>อาจารย์ช่อเอื้อง อุทิตะสาร 50%</t>
  </si>
  <si>
    <t>การพัฒนารูปแบบการเรียนการสอนตามแนวคิดการเรียนรู้ทางอารมณ์และสังคมและการสอนแบบผู้เรียนเป็นหุ้นส่วนร่วมเรียนรู้เพื่อเสริมสร้างความสามารถทางอารมณ์และสังคมของนักศึกษาครู สาขาวิชาการศึกษาปฐมวัย</t>
  </si>
  <si>
    <t>อาจารย์ธิติกาญจน์ ฐิติโสภณศักดิ์ 100%</t>
  </si>
  <si>
    <t>10994/2565</t>
  </si>
  <si>
    <t>แผนงานวิจัยและพัฒนาโปรแกรมเสริมสร้างความเป็นมืออาชีพของครูมือใหม่: ระยะพัฒนา</t>
  </si>
  <si>
    <t>รศ.ดร.สุชีรา มะหิเมือง</t>
  </si>
  <si>
    <t>11006/2565</t>
  </si>
  <si>
    <t>การศึกษาความต้องการจำเป็นของครูมือใหม่ด้านการเสริมสร้างความเป็นครูมืออาชีพ</t>
  </si>
  <si>
    <t>รศ.ดร.สุชีรา มะหิเมือง 70%</t>
  </si>
  <si>
    <t>11012/2565</t>
  </si>
  <si>
    <t>ผศ.ดร.วิภาวรรณ เอกวรรณัง 10%</t>
  </si>
  <si>
    <t>อาจารย์ ภาณุวัฒน์ ศิวะสกุลราช 10%</t>
  </si>
  <si>
    <t>อาจารย์ กลัญญู เพชราภรณ์ 10%</t>
  </si>
  <si>
    <t>รายการคำศัพท์ที่มีความถี่สูงสุดในข้อสอบโทอิค</t>
  </si>
  <si>
    <t xml:space="preserve">อาจารย์ ดร.อังค์วรา เหลืองนภา 90%
</t>
  </si>
  <si>
    <t>10695/2565</t>
  </si>
  <si>
    <t>อาจารย์ปทิตตา อัคราธนกุล  5%</t>
  </si>
  <si>
    <t>หลักไวยากรณ์ภาษาอังกฤษที่พบบ่อยในข้อสอบโทอิค</t>
  </si>
  <si>
    <t xml:space="preserve">อาจารย์จินต์จิรา บุญชูตระกูล  70%
</t>
  </si>
  <si>
    <t>10806/2565</t>
  </si>
  <si>
    <t xml:space="preserve">ผู้ช่วยศาสตราจารย์ ดร.สุวรีย์ ยอดฉิม  10%
</t>
  </si>
  <si>
    <t xml:space="preserve">ผู้ช่วยศาสตราจารย์อนันตชัย เอกะ  10%
</t>
  </si>
  <si>
    <t>ผู้ช่วยศาสตราจารย์ ดร.สุณัฐา กรุดทอง  10%</t>
  </si>
  <si>
    <t>การวิเคราะห์ความหมายและการใช้คำศัพท์สำหรับการสอบวัดระดับภาษาจีนเพื่อพัฒนาหนังสืออิเล็กทรอนิกส์ (E-book)</t>
  </si>
  <si>
    <t>อาจารย์ ดร.ชนิชา คิดประเสริฐ 60%</t>
  </si>
  <si>
    <t>10654/2565</t>
  </si>
  <si>
    <t>อาจารย์กัณฑริกา จึงสง่าสม 40%</t>
  </si>
  <si>
    <t>การวิเคราะห์ความหมายและการใช้คำคล้ายในภาษาจีนเพื่อพัฒนาหนังสืออิเล็กทรอนิกส์ (E-book)</t>
  </si>
  <si>
    <t>10663/2565</t>
  </si>
  <si>
    <t>กวีนิพนธ์การเมือง : การศึกษากลวิธีทางวรรณศิลป์กับแนวคิดทางการเมืองในมติชนสุดสัปดาห์ออนไลน์ช่วง พ.ศ. 2557-2564</t>
  </si>
  <si>
    <t>อาจารย์นพวรรณ งามรุ่งโรจน์</t>
  </si>
  <si>
    <t>10701/2565</t>
  </si>
  <si>
    <t>การศึกษาคำยืมที่ปรากฏในการสื่อสารข้ามวัฒนธรรม</t>
  </si>
  <si>
    <t xml:space="preserve">อาจารย์นันท์นลิน อินเสมียน 40%
</t>
  </si>
  <si>
    <t>10678/2565</t>
  </si>
  <si>
    <t>อาจารย์อังคณา สุขวิเศษ 20%</t>
  </si>
  <si>
    <t>อาจารย์กัญชลิกา ตรีกลางดอน 20%</t>
  </si>
  <si>
    <t>อาจารย์ Guillaume Paul, Napoleon 10%</t>
  </si>
  <si>
    <t>อาจารย์ James E.Harris 10%</t>
  </si>
  <si>
    <t>ประสิทธิผลของการสอนด้วยคลังข้อมูลภาษาเพื่อการเตรียมสอบโทอิค</t>
  </si>
  <si>
    <t xml:space="preserve">ผู้ช่วยศาสตราจารย์ ดร.สุวรีย์ ยอดฉิม 20%
</t>
  </si>
  <si>
    <t>10698/2565</t>
  </si>
  <si>
    <t>อาจารย์ ดร.อังค์วรา เหลืองนภา 15%</t>
  </si>
  <si>
    <t>อาจารย์จินต์จิรา บุญชูตระกูล 15%</t>
  </si>
  <si>
    <t>อาจารย์ปทิตตา อัคราธนกุล 50%</t>
  </si>
  <si>
    <t>การศึกษาภาษาอังกฤษในบริบทวัฒนธรรมไทย</t>
  </si>
  <si>
    <t>อาจารย์อังคณา สุขวิเศษ 100%</t>
  </si>
  <si>
    <t>10609/2565</t>
  </si>
  <si>
    <t>การศึกษาสภาพปัญหาและความต้องการของกลุ่มเกษตรกรรม กลุ่มบ้านโฉนด ชุมชนคลองโยง - ลานตากฟ้า อ.นครชัยศรี จ.นครปฐม เพื่อการพัฒนาอย่างยั่งยืน</t>
  </si>
  <si>
    <t>อาจารย์ ดร.อาริยา ภู่ระหงษ์ 50%</t>
  </si>
  <si>
    <t>10735/2565</t>
  </si>
  <si>
    <t>อาจารย์ ดร.วาสนา สุรีย์เดชะกุล 25%</t>
  </si>
  <si>
    <t>อาจารย์ศศิธร เจตานนท์ 25%</t>
  </si>
  <si>
    <t xml:space="preserve"> วิทยาลัยการจัดการอุตสาหกรรมบริการ</t>
  </si>
  <si>
    <t>โครงการวิจัยเพื่อพัฒนาทักษะทางด้านภาษาญี่ปุ่นผ่านการประยุกต์ใช้การสอนออนไลน์เต็มรูปแบบสำหรับผู้เรียนภาษาญี่ปุ่นเป็นวิชาเอก</t>
  </si>
  <si>
    <t>อาจารย์คชาภัช หลิมเจริญ 70%</t>
  </si>
  <si>
    <t>10497/2565</t>
  </si>
  <si>
    <t>ผู้ช่วยศาสตราจารย์ ดร.เปรมวดี ณ นครพนม 30%</t>
  </si>
  <si>
    <t>ปัจจัยที่ส่งผลกระทบต่อความสามารถการเรียนไวยากรณ์ภาษาญี่ปุ่นผ่านการเรียนการสอนรูปแบบออนไลน์</t>
  </si>
  <si>
    <t>อาจารย์ไพลิน กลิ่นเกษร 100%</t>
  </si>
  <si>
    <t>10578/2565</t>
  </si>
  <si>
    <t>การศึกษาคำประสมภาษาอังกฤษทางวัฒนธรรมประเพณีไทย</t>
  </si>
  <si>
    <t>ผู้ช่วยศาสตราจารย์วิชุดา ขุนหนู 20%</t>
  </si>
  <si>
    <t>10715/2565</t>
  </si>
  <si>
    <t>อาจารย์นิธิวดี โฆสรัสวดี 20%</t>
  </si>
  <si>
    <t>ผู้ช่วยศาสตราจารย์ดนยา ด่านสวัสดิ์ 20%</t>
  </si>
  <si>
    <t>ผู้ช่วยศาสตราจารย์จันทิมา หวังสมโชค 20%</t>
  </si>
  <si>
    <t>อาจารย์พัชราพรรณ ภูบุญศรี 20%</t>
  </si>
  <si>
    <t>ปัจจัยที่ส่งผลกระทบต่อความสามารถในการแปลภาษาญี่ปุ่นผ่านการเรียนการสอนรูปแบบออนไลน์</t>
  </si>
  <si>
    <t>11177/2565</t>
  </si>
  <si>
    <t>อาจารย์วิรุตม์ อินทร์ชูรันต์ 30%</t>
  </si>
  <si>
    <t>ปัจจัยแห่งความสำเร็จของยุทธศาสตร์การพัฒนาองค์กรปกครองส่วนท้องถิ่น</t>
  </si>
  <si>
    <t>ผู้ช่วยศาสตราจารย์ ดร.มารดารัตน์ สุขสง่า 65%</t>
  </si>
  <si>
    <t xml:space="preserve"> วิทยาลัยการเมืองและการปกครอง</t>
  </si>
  <si>
    <t>10480/2565</t>
  </si>
  <si>
    <t>อาจารย์ ดร.ขันทอง ใจดี 5%</t>
  </si>
  <si>
    <t>อาจารย์สันต์ชัย รัตนะขวัญ 5%</t>
  </si>
  <si>
    <t>อาจารย์ศรัณย์ จิระพงษ์สุวรรณ 5%</t>
  </si>
  <si>
    <t>อาจารย์กฤษณ์ วงศ์วิเศษธร 5%</t>
  </si>
  <si>
    <t>ผู้ช่วยศาสตราจารย์ ดร.ณัฐพล ใจจริง 5%</t>
  </si>
  <si>
    <t>อาจารย์หัชชากร วงศ์สายัณห์ 5%</t>
  </si>
  <si>
    <t>อาจารย์อัยรวี วีระพันธ์พงศ์ 5%</t>
  </si>
  <si>
    <t>โครงการวิจัยเพื่อหันเหผู้กระทำผิดออกจากกระบวนการบุติธรรม:แนวทางการลดปริมาณคดีอาญาของกระบวนการยุติธรรม : บทบาทของยุติธรรมชุมชน</t>
  </si>
  <si>
    <t>สำนักงานกิจการยุติธรรม</t>
  </si>
  <si>
    <t>อาจารย์ ดร.นัดดาภา จิตต์แจ้ง</t>
  </si>
  <si>
    <t>สัญญา 5-2565</t>
  </si>
  <si>
    <t>ภาพแทนสังคมและการเมืองไทยในกวีนิพนธ์ร่วมสมัยของไทย ปี พ.ศ. 2557-2564</t>
  </si>
  <si>
    <t xml:space="preserve">อาจารย์วรุณญา อัจฉริยบดี </t>
  </si>
  <si>
    <t>10623/2565</t>
  </si>
  <si>
    <t>ภาพแทนสังคมและการเมืองไทยในกวีนิพนธ์ในวรรณกรรมรางวัลพานแว่นฟ้า ตั้งแต่ปี พ.ศ.2557-2564</t>
  </si>
  <si>
    <t>อาจารย์วรุณญา อัจฉริยบดี</t>
  </si>
  <si>
    <t>10660/2565</t>
  </si>
  <si>
    <t>แนวทางในการพัฒนาความยั่งยืนของเกษตรกรรมในกลุ่มบ้านโฉนดชุมชนคลองโยง-ลานตากฟ้า กรณีศึกษา โรงสีชุมชนวิสาหกิจชุมชนบ้านโฉนดชุมชนคลองโยง-ลานตากฟ้า ตำบลลานตากฟ้า อำเภอนครชัยศรี จังหวัดนครปฐม</t>
  </si>
  <si>
    <t>อาจารย์ ดร.วาสนา สุรีย์เดชะกุล 50%</t>
  </si>
  <si>
    <t>10748/2565</t>
  </si>
  <si>
    <t>ผู้ช่วยศาสตราจารย์ ดร.ชินวัฒน์ ศาสนนันทน์ 20%</t>
  </si>
  <si>
    <t xml:space="preserve"> คณะวิทยาศาสตร์และเทคโนโลยี</t>
  </si>
  <si>
    <t>อาจารย์ ดร.อาริยา ภู่ระหงษ์ 20%</t>
  </si>
  <si>
    <t>อาจารย์ ดร.สุจิตรา ริมดุสิต 10%</t>
  </si>
  <si>
    <t>การวิเคราะห์ความหมายและการใช้สุภาษิตสำนวนจีนเพื่อพัฒนาหนังสืออิเล็กทรอนิกส์ (E-Book)</t>
  </si>
  <si>
    <t>อาจารย์ ว่าที่ ร.ต. ดร.เกรียงไกร กองเส็ง</t>
  </si>
  <si>
    <t>10633/2565</t>
  </si>
  <si>
    <t>การเผยแพร่ความรู้ของการสร้างสรรค์ผลิตภัณฑ์ทางวัฒนธรรมจากงานช่างฝีมือหัวโขนของวัดใหม่ผดุงเขตผ่านนิทรรศการเสมือนจริง</t>
  </si>
  <si>
    <t>อาจารย์ ดร.สุวรรณฤทธิ์ วงศ์ชะอุ่ม 90%</t>
  </si>
  <si>
    <t>10763/2565</t>
  </si>
  <si>
    <t>อาจารย์ ดร.ศิริมาลย์ วัฒนา 10%</t>
  </si>
  <si>
    <t>การบูรณาการการสร้างมูลค่าเพิ่มให้กับผลิตภัณฑ์วัฒนธรรมสร้างสรรค์จากงานช่างฝีมือหัวโขน วัดใหม่ผดุงเขต</t>
  </si>
  <si>
    <t>อาจารย์ ดร.ศิริมาลย์ วัฒนา 30%</t>
  </si>
  <si>
    <t>10716/2565</t>
  </si>
  <si>
    <t>ผู้ช่วยศาสตราจารย์อนันตชัย เอกะ 40%</t>
  </si>
  <si>
    <t>อาจารย์ ดร.สุวรรณฤทธิ์ วงศ์ชะอุ่ม 30%</t>
  </si>
  <si>
    <t>การพัฒนาผลิตภัณฑ์ทางวัฒนธรรมสร้างสรรค์จากงานช่างฝีมือหัวโขน วัดใหม่ผดุงเขต</t>
  </si>
  <si>
    <t>อาจารย์ ดร.ศิริมาลย์ วัฒนา 40%</t>
  </si>
  <si>
    <t>10749/2565</t>
  </si>
  <si>
    <t>ผู้ช่วยศาสตราจารย์อนันตชัย เอกะ 50%</t>
  </si>
  <si>
    <t>อาจารย์ ดร.สุวรรณฤทธิ์ วงศ์ชะอุ่ม 10%</t>
  </si>
  <si>
    <t>สองทศวรรษแห่งการเปลี่ยนแปลงการใช้ประโยชน์ที่ดิน  บริเวณเกาะช้าง จังหวัดตราด ประเทศไทย</t>
  </si>
  <si>
    <t>อาจารย์คธาวุฒิ ไวยสุศรี</t>
  </si>
  <si>
    <t>10496/2565</t>
  </si>
  <si>
    <t>การเรียนรู้ของเครื่องเพื่อติดตามภัยแล้งทางการเกษตรในจังหวัดนครราชสีมาโดยใช้ข้อมูลการสำรวจระยะไกล</t>
  </si>
  <si>
    <t>ผู้ช่วยศาสตราจารย์มรกต วรชัยรุ่งเรือง 80%</t>
  </si>
  <si>
    <t>10544/2565</t>
  </si>
  <si>
    <t>อาจารย์พรสมิทธิ์ ฉายสมิทธิกุล 5%</t>
  </si>
  <si>
    <t>อาจารย์ณยศ กุลพานิช 5%</t>
  </si>
  <si>
    <t>อาจารย์พรเพิ่ม แซ่โง้ว 5%</t>
  </si>
  <si>
    <t>อาจารย์คธาวุฒิ ไวยสุศรี 5%</t>
  </si>
  <si>
    <t>การสร้างสรรค์นวัตกรรมการแข่งขันผ่านเกมและอีสปอร์ต เพื่อส่งเสริมกีฬาอีสปอร์ตไทยสู่สากล ภายใต้แนวคิด University eSports Championship</t>
  </si>
  <si>
    <t>ผู้ช่วยศาสตราจาร์ ดร.สุวรีย์ ยอดฉิม</t>
  </si>
  <si>
    <t>งป 11048/2565</t>
  </si>
  <si>
    <t>กลยุทธ์การสื่อสารภาษาอังกฤษและการศึกษาอุปสงค์ทางการตลาด เพื่อส่งเสริมการแข่งขันเกมและกีฬาอีสปอร์ตระดับสากล</t>
  </si>
  <si>
    <t>ผู้ช่วยศาสตราจารย์ ดร.สุวรีย์ ยอดฉิม</t>
  </si>
  <si>
    <t>งป 11049/2565</t>
  </si>
  <si>
    <t>การพัฒนาเศรษฐกิจฐานรากบนวิถีความหลากหลายของทุนทางปัญญาเพื่อยกระดับผลิตผลชุมชนเมืองเชิงคุณค่าสู่การสร้างมูลค่าของผลิตภัณฑ์อัตลักษณ์ดุสิตแบรนด์</t>
  </si>
  <si>
    <t>ผู้ช่วยศาสตราจารย์ ดร.ภูสิทธ์ ภูคำชะโนด 55%</t>
  </si>
  <si>
    <t>งป 11086/2565</t>
  </si>
  <si>
    <t>ผู้ช่วยศาสตราจารย์ ว่าที่ ร.ต.เพ็ญนภา ปาละปิน 15%</t>
  </si>
  <si>
    <t>ผู้ช่วยศาสตราจารย์ ดร.สุมิตรา นวลมีศรี 15%</t>
  </si>
  <si>
    <t>อาจารย์ พท.ป.วรรณี พรมด้าว 15%</t>
  </si>
  <si>
    <t xml:space="preserve"> วิทยาลัยสหเวชศาสตร์</t>
  </si>
  <si>
    <t>การมีส่วนร่วมของผู้นําชุมชนเมืองในการออกแบบผลิตผลจากความหลากหลายของทุนทางปัญญาทุนมนุษย์เพื่อสร้างศักยภาพการพึ่งตนบนวิถีพอเพียง</t>
  </si>
  <si>
    <t>ผู้ช่วยศาสตราจารย์ ดร.ภูสิทธ์ ภูคำชะโนด</t>
  </si>
  <si>
    <t>งป 11087/2565</t>
  </si>
  <si>
    <t>การยกระดับสมรรถนะผู้ประกอบการในสร้างมนต์เสน่ห์ทางวัฒนธรรมของผลิตภัณฑ์ชุมชนเมืองเพื่อสร้างมูลค่าเพิ่มเป็นสินค้าดุสิตแบรนด์</t>
  </si>
  <si>
    <t>ผู้ช่วยศาสตราจารย์ ว่าที่ ร.ต.เพ็ญนภา ปาละปิน 85%</t>
  </si>
  <si>
    <t>งป 11089/2565</t>
  </si>
  <si>
    <t>ผู้ช่วยศาสตราจารย์ ดร.ภูสิทธ์ ภูคำชะโนด 5%</t>
  </si>
  <si>
    <t>อาจารย์ไพลิน กลิ่นเกษร 5%</t>
  </si>
  <si>
    <t>อาจารย์ภาชญา เชี่ยวชาญ 5%</t>
  </si>
  <si>
    <t>A Study on Estimating Land Value Distribution for the Talingchan District, Bangkok Using Points-of-Interest Data and Machine Learning Classiﬁcation</t>
  </si>
  <si>
    <t>ผศ.มรกต วรชัยรุ่งเรือง 90%</t>
  </si>
  <si>
    <t>11201/2565</t>
  </si>
  <si>
    <t>ผศ.ดร.กันยพัชร์ ธนกุลวุฒิโรจน์ 10%</t>
  </si>
  <si>
    <t>การถ่ายทอดองค์ความรู้และเทคโนโลยีเพื่อพัฒนาศักยภาพด้านการปลูกข้าวด้วยระบบภูมิสารสนเทศ (Geo-informatics)สู่กลุ่มเกษตรกรผู้ปลูกข้าวในจังหวัดนครปฐม</t>
  </si>
  <si>
    <t>สำนักงานการวิจัยแห่งชาติ</t>
  </si>
  <si>
    <t>อาจารย์ณยศ กุลพานิช 50%</t>
  </si>
  <si>
    <t>N71B650084</t>
  </si>
  <si>
    <t>ผศ.มรกต วรชัยรุ่งเรือง 20%</t>
  </si>
  <si>
    <t>ผศ.ดร.กันยพัชร์ ธนกุลวุฒิโรจน์  20%</t>
  </si>
  <si>
    <t>ผู้ช่วยศาสตราจารย์ ดร.วลัยพร ผ่อนผัน  10%</t>
  </si>
  <si>
    <t>คณะวิทยาศาสตร์และเทคโนโลยี</t>
  </si>
  <si>
    <t>การจำแนกพันธุ์ไม้ป่าชายเลนโดยใช้ภาพถ่ายดาวเทียม Sentinel 2 ด้วยชุดการเรียนรู้ของเครื่อง กรณีศึกษา อำเภออัมพวา จังหวัดสมุทรสงคราม</t>
  </si>
  <si>
    <t>ผศ.มรกต วรชัยรุ่งเรือง 80%</t>
  </si>
  <si>
    <t>10545/2565</t>
  </si>
  <si>
    <t>อาจารย์ พรสมิทธิ์ ฉายสมิทธิกุล 5%</t>
  </si>
  <si>
    <t>อาจารย์ พรเพิ่ม แซ่โง้ว 5%</t>
  </si>
  <si>
    <t>อาจารย์ ณยศ กุลพานิช 5%</t>
  </si>
  <si>
    <t>อาจารย์ คธาวุฒิ ไวยสุศรี 5%</t>
  </si>
  <si>
    <t>Spatial Evolution of Coastal Tourist City Using the Dyna-CLUE Model in Koh Chang of Thailand during 1990–2050</t>
  </si>
  <si>
    <t>อาจารย์ คธาวุฒิ ไวยสุศรี</t>
  </si>
  <si>
    <t>25,000.00</t>
  </si>
  <si>
    <t>11580/2565</t>
  </si>
  <si>
    <t>กลยุทธ์ในการจำหน่ายผลิตภัณฑ์เสริมอาหารเพื่อสุขภาพของผู้บริโภคในเขตกรุงเทพมหานคร</t>
  </si>
  <si>
    <t>อาจารย์ ดร.วิทยา อินทรพิมล 75%</t>
  </si>
  <si>
    <t>10757/2565</t>
  </si>
  <si>
    <t>ผู้ช่วยศาสตราจารย์กวินพัฒน์ เลิศพงษ์มณี 5%</t>
  </si>
  <si>
    <t>อาจารยืพรรณรังสี อินทร์พยุง 5%</t>
  </si>
  <si>
    <t>อาจารย์ชัชรินทร์ ศาสตร์เสริม 5%</t>
  </si>
  <si>
    <t>อาจารย์สุภาภรณ์ วิมลชัยฤกษ์ 5%</t>
  </si>
  <si>
    <t>วิทยาลัยนิเทศศาสตร์</t>
  </si>
  <si>
    <t xml:space="preserve">	ผู้ช่วยศาสตราจารย์อาภาภรณ์ โพธิ์กระจ่าง 5%</t>
  </si>
  <si>
    <t xml:space="preserve"> วิทยาลัยนวัตกรรมและการจัดการ</t>
  </si>
  <si>
    <t>พฤติกรรมการบริโภคผลิตภัณฑ์เสริมอาหารของผู้บริโภคในเขตกรุงเทพมหานคร</t>
  </si>
  <si>
    <t>ผู้ช่วยศาสตราจารย์ ดร.อัญชนา สุขสมจิตร 5%</t>
  </si>
  <si>
    <t>10706/2565</t>
  </si>
  <si>
    <t>อาจารย์ ดร.อโนชา โรจนพานิช 5%</t>
  </si>
  <si>
    <t>อาจารย์ ดร.วิทยา อินทรพิมล 70%</t>
  </si>
  <si>
    <t>อาจารย์เปรมใจ เอื้อจิตร์ 5%</t>
  </si>
  <si>
    <t>การพัฒนารูปแบบการจัดกิจกรรมนันทนาการสำหรับผู้สูงอายุในเขตดุสิต  กรุงเทพมหานคร</t>
  </si>
  <si>
    <t>ผู้ช่วยศาสตราจารย์ ดร.มนันยา มีนคร 30%</t>
  </si>
  <si>
    <t>10592/2565</t>
  </si>
  <si>
    <t>อาจารย์ ดร.ยุทธภูมิ ธนากิจบริสุทธิ์ 5%</t>
  </si>
  <si>
    <t>อาจารย์ ดร.ขวัญชล หัสโยธิน 5%</t>
  </si>
  <si>
    <t>อาจารย์ณรงค์ อนุรักษ์ 5%</t>
  </si>
  <si>
    <t>ผู้ช่วยศาสตราจารย์ ดร.จันทร์เพ็ญ มีนคร 50%</t>
  </si>
  <si>
    <t>อาจารย์อรรณพ ปานพวง 5%</t>
  </si>
  <si>
    <t>ปัจจัยที่มีผลต่อการตัดสินใจซื้อผลิตภัณฑ์เสริมอาหารเพื่อสุขภาพของผู้บริโภคในเขตกรุงเทพมหานคร</t>
  </si>
  <si>
    <t>อาจารย์พรรณรังสี อินทร์พยุง 70%</t>
  </si>
  <si>
    <t>10798/2565</t>
  </si>
  <si>
    <t>อาจารย์ขจีรัตน์ พุ่มพฤกษ์ 5%</t>
  </si>
  <si>
    <t>อาจารย์เทพ เหมือนฟู 5%</t>
  </si>
  <si>
    <t>อาจารย์ ดร.ณัฐณิชา กลีบบัวบาน 5%</t>
  </si>
  <si>
    <t>ผู้ช่วยศาสตราจารย์อาภาภรณ์ โพธิ์กระจ่าง 5%</t>
  </si>
  <si>
    <t>การศึกษาช่องทางและแนวโน้มการพัฒนาการประกอบอาชีพค้าขายในรูปแบบออนไลน์ ของผู้ประกอบการเขตดุสิต กรุงเทพมหานคร</t>
  </si>
  <si>
    <t>อาจารย์รัศมี รัตนอุบล 60%</t>
  </si>
  <si>
    <t>10712/2565</t>
  </si>
  <si>
    <t>อาจารย์กนกวรรณ แก้วประเสริฐ 5%</t>
  </si>
  <si>
    <t>อาจารย์ ดร.กฤษณะ เชื้อชัยนาท 5%</t>
  </si>
  <si>
    <t>อาจารย์ประภัสรา วจีทองรัตนา 5%</t>
  </si>
  <si>
    <t>ผู้ช่วยศาสตราจารย์ ดร.ชารวี บุตรบำรุง 5%</t>
  </si>
  <si>
    <t>อาจารย์ส่งเสริม วจีทองรัตนา 5%</t>
  </si>
  <si>
    <t>ผู้ช่วยศาสตราจารย์ ดร.สมศักดิ์ คล้ายสังข์ 5%</t>
  </si>
  <si>
    <t xml:space="preserve">	ผู้ช่วยศาสตราจารย์ชุติมา คล้ายสังข์ 5%</t>
  </si>
  <si>
    <t>การจัดทำบัญชีและการจัดการความรู้ด้านการบัญชีภายใต้ความปกติใหม่ของวิสาหกิจชุมชนในกรุงเทพมหานคร</t>
  </si>
  <si>
    <t>อาจารย์รุ่งลักษมี รอดขำ 15%</t>
  </si>
  <si>
    <t>10604/2565</t>
  </si>
  <si>
    <t xml:space="preserve">	ผู้ช่วยศาสตราจารย์ลัดดา หิรัญยวา 55%</t>
  </si>
  <si>
    <t xml:space="preserve">	รองศาสตราจารย์อรุณรุ่ง วงศ์กังวาน 5%</t>
  </si>
  <si>
    <t xml:space="preserve">	ผู้ช่วยศาสตราจารย์ปราณี ตรีทศกุล 5%</t>
  </si>
  <si>
    <t xml:space="preserve">	อาจารย์ ดร.อโนชา โรจนพานิช 5%</t>
  </si>
  <si>
    <t>อาจารย์ ดร.หุดา วงษ์ยิ้ม 5%</t>
  </si>
  <si>
    <t>อาจารย์ ดร.สุภาพ อัครปทุมวงศ์ 5%</t>
  </si>
  <si>
    <t>รองศาสตราจารย์ ดร.กฤษฎา สังขมณี 5%</t>
  </si>
  <si>
    <t>การศึกษาแนวทางการพัฒนาศักยภาพการประกอบอาชีพในรูปแบบออนไลน์ ของกลุ่มผู้ประกอบอาชีพค้าขายเขตดุสิต กรุงเทพมหานคร</t>
  </si>
  <si>
    <t>อาจารย์กนกวรรณ แก้วประเสริฐ</t>
  </si>
  <si>
    <t>10682/2565</t>
  </si>
  <si>
    <t>การวิเคราะห์ความพร้อมต่อการขายสินค้ารูปแบบออนไลน์ที่ส่งผลต่อพฤติกรรมการค้าขายของผู้ประกอบการเขตดุสิต กรุงเทพมหานคร</t>
  </si>
  <si>
    <t>10710/2565</t>
  </si>
  <si>
    <t>อิทธิพลของดิจิตัลดิสรัปชั่นที่มีต่อการจัดการการเงินของประชากรวัยทำงาน เขตดุสิต กรุงเทพมหานคร</t>
  </si>
  <si>
    <t>ผู้ช่วยศาสตราจารย์ ดร.ชารวี บุตรบำรุง 80%</t>
  </si>
  <si>
    <t>10531/2565</t>
  </si>
  <si>
    <t>ผู้ช่วยศาสตราจารย์ ดร.สุพัตรา กาญจโนภาส 5%</t>
  </si>
  <si>
    <t>อาจารย์รัศมี รัตนอุบล 5%</t>
  </si>
  <si>
    <t>ศักยภาพการแข่งขันและการปรับตัวภายใต้ความปกติใหม่ของวิสาหกิจชุมชน ในกรุงเทพมหานคร</t>
  </si>
  <si>
    <t>รองศาสตราจารย์ ดร.วนิดา สุวรรณนิพนธ์ 60%</t>
  </si>
  <si>
    <t>10569/2565</t>
  </si>
  <si>
    <t>ผู้ช่วยศาสตราจารย์ ดร.ณัฐพงษ์ เตชะรัตนเสฏฐ์ 10%</t>
  </si>
  <si>
    <t>รองศาสตราจารย์ ดร.บัณฑิต ผังนิรันดร์ 10%</t>
  </si>
  <si>
    <t xml:space="preserve">	รองศาสตราจารย์อรุณรุ่ง วงศ์กังวาน 10%</t>
  </si>
  <si>
    <t>อาจารย์ ว่าที่ ร.ต. หญิงบุญญาดา พาหาสิงห์ 10%</t>
  </si>
  <si>
    <t>การจัดการการเงินและส่วนประสมทางการตลาดที่ส่งผลต่อความตั้งใจใช้กระเป๋าเงินอิเล็กทรอนิกส์: กรณีประชากรวัยทำงาน เขตดุสิต กรุงเทพมหานคร</t>
  </si>
  <si>
    <t>ผู้ช่วยศาสตราจารย์ ดร.สุพัตรา กาญจโนภาส 90%</t>
  </si>
  <si>
    <t>10721/2565</t>
  </si>
  <si>
    <t>ผู้ช่วยศาสตราจารย์ ดร.ชารวี บุตรบำรุง 10%</t>
  </si>
  <si>
    <t>ปัจจัยที่ส่งผลต่อความพึงพอใจในการใช้กระเป๋าเงินอิเล็กทรอนิกส์ของผู้บริโภควัยทำงาน ในเขตดุสิต กรุงเทพมหานคร</t>
  </si>
  <si>
    <t>ผู้ช่วยศาสตราจารย์ ดร.สุพัตรา กาญจโนภาส 70%</t>
  </si>
  <si>
    <t>10739/2565</t>
  </si>
  <si>
    <t>ผู้ช่วยศาสตราจารย์ ดร.สมศักดิ์ คล้ายสังข์ 10%</t>
  </si>
  <si>
    <t>ผู้ช่วยศาสตราจารย์ชุติมา คล้ายสังข์ 10%</t>
  </si>
  <si>
    <t>การสร้างเส้นทางการท่องเที่ยว กิจกรรมการท่องเที่ยว และการเล่าเรื่องราวทางประวัติศาสตร์ที่น่าสนใจของบ้านเชียงและคาชะโนด จังหวัดอุดรธานี</t>
  </si>
  <si>
    <t>รองศาสตราจารย์ ดร.บัณฑิต ผังนิรันดร์ 50%</t>
  </si>
  <si>
    <t>งป 11127/2565</t>
  </si>
  <si>
    <t>อาจารย์ ดร.ชญานันท์ เกิดพิทักษ์ 10%</t>
  </si>
  <si>
    <t>อาจารย์ธีรพงศ์ พงษ์เพ็ง 10%</t>
  </si>
  <si>
    <t>อาจารย์ ดร.นภัสสร เกิดพิทักษ์ 10%</t>
  </si>
  <si>
    <t>อาจารย์ ดร.นธายุ วันทยะกุล 10%</t>
  </si>
  <si>
    <t>อาจารย์โสภาวรรณ ตรีสุวรรณ์ 5%</t>
  </si>
  <si>
    <t>อาจารย์ ดร.นรินทร์ ยืนทน 5%</t>
  </si>
  <si>
    <t>การพัฒนาทุนมนุษย์เพื่อเพิ่มขีดความสามารถของผู้ประกอบการวิสาหกิจชุมชนด้วยทุนวัฒนธรรมหลังวิถีใหม่ของจังหวัดสมุทรสงคราม</t>
  </si>
  <si>
    <t>อาจารย์สุวิตา พฤกษอาภรณ์ 80%</t>
  </si>
  <si>
    <t>งป 11159/2565</t>
  </si>
  <si>
    <t>อาจารย์ ดร.พนิดา นิลอรุณ 5%</t>
  </si>
  <si>
    <t>อาจารย์รติรัตน์ ณ สงขลา 5%</t>
  </si>
  <si>
    <t>ผู้ช่วยศาสตราจารย์ ดร.ชลภัสสรณ์ สิทธิวรงค์ชัย 5%</t>
  </si>
  <si>
    <t>อาจารย์ ดร.ธวัชชัย สู่เพื่อน 5%</t>
  </si>
  <si>
    <t>โครงการการพัฒนาเทคโนโลยีแบบชีวิตวิถีใหม่ (New Normal Lifestyle) สำหรับผู้ประกอบการท่องเที่ยวในจังหวัดสมุทรสงคราม เพื่อการแก้ไขวิกฤตสถานการณ์ COVID19 ในระยะสั้นและระยะยาว</t>
  </si>
  <si>
    <t>สำนักงานสภานโยบายการอุดมศึกษา วิทยาศาสตร์ วิจัยและนวัตกรรมแห่งชาติ(หน่วยบริหารและจัดการทุนด้านการพัฒนากำลังคน และทุนด้านการพัฒนาสถาบันอุดมศึกษาการวิจัยและการสร้างนวัตกรรม)</t>
  </si>
  <si>
    <t>ภาครัฐ</t>
  </si>
  <si>
    <t>ผู้ช่วยศาสตราจารย์ ดร.พิสิษฐ์ พจนจารุวิทย์ 80%</t>
  </si>
  <si>
    <t>คณะวิทยาการจัดการ</t>
  </si>
  <si>
    <t>หน่วยบริหารและจัดการทุนด้านการพัฒนากำลังคน และทุนด้านการพัฒนาสถาบันอุดมศึกษา การวิจัยและการสร้างนวัตกรรม (บพค.)</t>
  </si>
  <si>
    <t>B17F640165</t>
  </si>
  <si>
    <t>ผู้ช่วยศาสตราจารย์ ดร. พิจิตรา จอมศรี 10%</t>
  </si>
  <si>
    <t>ดร.วัฒนา พันธุ์พืช 10%</t>
  </si>
  <si>
    <t>ศักยภาพการแข่งขันด้วยนวัตกรรมการตลาดดิจิทัลภายใต้ความปกติใหม่ของวิสาหกิจชุมชน ในกรุงเทพมหานคร</t>
  </si>
  <si>
    <t>ผู้ช่วยศาสตราจารย์ ดร.ณัฐพงษ์ เตชะรัตนเสฏฐ์ 60%</t>
  </si>
  <si>
    <t>10732/2565</t>
  </si>
  <si>
    <t>รองศาสตราจารย์ ดร.วนิดา สุวรรณนิพนธ์ 10%</t>
  </si>
  <si>
    <t>รองศาสตราจารย์อรุณรุ่ง วงศ์กังวาน 10%</t>
  </si>
  <si>
    <t>ผู้ช่วยศาสตราจารย์ปราณี ตรีทศกุล 10%</t>
  </si>
  <si>
    <t>การเพิ่มมูลค่าสินค้าน้ำตาลมะพร้าวด้วยการตลาดสมัยใหม่และแพลตฟอร์มอีคอมเมิร์ซ (E-Commerce) เพื่อพัฒนาศักยภาพเศรษฐกิจชุมชนจังหวัดสมุทรสงคราม</t>
  </si>
  <si>
    <t>อาจารย์พิชามณต์ ชาญสุไชย 80%</t>
  </si>
  <si>
    <t>10724/2565</t>
  </si>
  <si>
    <t>ผู้ช่วยศาสตราจารย์สัคพัศ แสงฉาย 20%</t>
  </si>
  <si>
    <t>แนวทางการส่งเสริมการประกอบอาชีพของกลุ่มเรือนำเที่ยวทะเลบัวแดงในสถานการณ์การแพร่ระบาดของโรคติดเชื้อไวรัสโคโรนา 2019 (COVID - 19)</t>
  </si>
  <si>
    <t>รองศาสตราจารย์ ดร. ธนสุวิทย์ ทับหิรัญรักษ์ 10%</t>
  </si>
  <si>
    <t>10818/2565</t>
  </si>
  <si>
    <t>ผู้ช่วยศาสตราจารย์ ดร.สิทธิชัย ธรรมเสน่ห์ 10%</t>
  </si>
  <si>
    <t>อาจารย์ ดร.อดุลย์ ทานาราช 10%</t>
  </si>
  <si>
    <t xml:space="preserve"> บัณฑิตวิทยาลัย (กลุ่มมนุษยศาสตร์ฯ)</t>
  </si>
  <si>
    <t>อาจารย์ ดร.ปรามศึก หวลประไพ 10%</t>
  </si>
  <si>
    <t>รองศาสตราจารย์ ดร.ดวงสมร รุ่งสวรรค์โพธิ์ 50%</t>
  </si>
  <si>
    <t>อาจารย์ ดร.พอดี สุขพันธ์ 10%</t>
  </si>
  <si>
    <t>โครงการต้นแบบการอบรมกลุ่มหลักสูตรทักษะดิจิทัลพื้นฐานที่จำเป็นและทักษะขั้นสูงเฉพาะทางเพื่อพัฒนาศักยภาพบุคลากรดิจิทัลทางการศึกษา ในบริบทประเทศไทย</t>
  </si>
  <si>
    <t>กองทุนพัฒนาดิจิทัลเพื่อเศรษฐกิจและสังคม</t>
  </si>
  <si>
    <t>ผู้ช่วยศาสตราจารย์ ดร.ศิริลักษณ์ เกตุฉาย 70%</t>
  </si>
  <si>
    <t>กท1 046/64</t>
  </si>
  <si>
    <t>ผู้ช่วยศาสตราจารย์ ดร.กันยพัชร์ ธนกุลวุฒิโรจน์ 30%</t>
  </si>
  <si>
    <t>ปัญหากฎหมายเกี่ยวกับการใช้พยานหลักฐานทางวิทยาศาสตร์ในคดีอาญา</t>
  </si>
  <si>
    <t>อาจารย์ทศพล ชูโชติ 25%</t>
  </si>
  <si>
    <t>10846/2565</t>
  </si>
  <si>
    <t>อาจารย์ ดร.ณิช วงศ์ส่องจ้า 25%</t>
  </si>
  <si>
    <t>อาจารย์ธนวัฒ พิสิฐจินดา 25%</t>
  </si>
  <si>
    <t>อาจารย์จตุรงค์ เพิ่มรุ่งเรือง 15%</t>
  </si>
  <si>
    <t>อาจารย์ราชพง ภูมิพงศ์ 10%</t>
  </si>
  <si>
    <t>การพัฒนานวัตกรรมต้นแบบเกม เพื่อเสริมสร้างแรงจูงใจต่อการเรียนการสอนออนไลน์ รองรับชีวิตปกติวิถีใหม่ สำหรับผู้เรียนระดับปริญญาตรี</t>
  </si>
  <si>
    <t xml:space="preserve">	ผู้ช่วยศาสตราจารย์ ดร.ปรีดาวรรณ เกษเมธีการุณ 50%</t>
  </si>
  <si>
    <t>10610/2565</t>
  </si>
  <si>
    <t>ผู้ช่วยศาสตราจารย์ ดร.พิจิตรา จอมศรี 5%</t>
  </si>
  <si>
    <t>ผู้ช่วยศาสตราจารย์ ดร.ศิริลักษณ์ เกตุฉาย 5%</t>
  </si>
  <si>
    <t>อาจารย์ ดร.บุศรินทร์ เอี่ยมธนากุล 5%</t>
  </si>
  <si>
    <t>อาจารย์ ดร.ดุลยวิทย์ ปรางชุมพล 15%</t>
  </si>
  <si>
    <t>อาจารย์ชัชพล ชอบวิทยาคุณ 5%</t>
  </si>
  <si>
    <t>การพัฒนาเกมโมบายแอปพลิเคชันเสริมสร้างแรงจูงใจต่อการเรียนการสอนออนไลน์ เพื่อรองรับชีวิตปกติวิถีใหม่</t>
  </si>
  <si>
    <t>ผู้ช่วยศาสตราจารย์ ดร.ปรีดาวรรณ เกษเมธีการุณ 50%</t>
  </si>
  <si>
    <t>10612/2565</t>
  </si>
  <si>
    <t>ผู้ช่วยศาสตราจารย์ ดร.สุมิตรา นวลมีศรี 19%</t>
  </si>
  <si>
    <t xml:space="preserve">	ผู้ช่วยศาสตราจารย์ณัฐภัทร แก้วรัตนภัทร์ 3%</t>
  </si>
  <si>
    <t>อาจารย์ ดร.ดุลยวิทย์ ปรางชุมพล 5%</t>
  </si>
  <si>
    <t>อาจารย์กมลวรรณ ตั้งเจริญบำรุงสุข 3%</t>
  </si>
  <si>
    <t>การออกแบบยูสเซอร์อินเตอร์เฟสด้านการเรียนการสอนด้วยเกม เพื่อยกระดับผลสัมฤทธิ์ต่อการเรียนออนไลน์ รองรับชีวิตปกติวิถีใหม่</t>
  </si>
  <si>
    <t>อาจารย์ ดร.ดุลยวิทย์ ปรางชุมพล 50%</t>
  </si>
  <si>
    <t>10639/2565</t>
  </si>
  <si>
    <t>ผู้ช่วยศาสตราจารย์ ดร.พิจิตรา จอมศรี 25%</t>
  </si>
  <si>
    <t>อาจารย์ ดร.บุศรินทร์ เอี่ยมธนากุล 10%</t>
  </si>
  <si>
    <t>ผู้ช่วยศาสตราจารย์ ดร.สุมิตรา นวลมีศรี 2%</t>
  </si>
  <si>
    <t>ผู้ช่วยศาสตราจารย์ ดร.ปรีดาวรรณ เกษเมธีการุณ 2%</t>
  </si>
  <si>
    <t>อาจารย์ชัชพล ชอบวิทยาคุณ 2%</t>
  </si>
  <si>
    <t>อาจารย์กิตติยา พูนศิลป์ 2%</t>
  </si>
  <si>
    <t>ผู้ช่วยศาสตราจารย์ ดร.อรวรรณ ริ้วทอง 2%</t>
  </si>
  <si>
    <t>ผลกระทบของเวลาในการให้กระแสไฟฟ้าพัลส์ต่อคุณสมบัติทางกายภาพและการแปรรูปผลิตภัณฑ์จากแป้งสาลี</t>
  </si>
  <si>
    <t>ผู้ช่วยศาสตราจารย์ ดร.ปิยะดา อาชายุทธการ 90%</t>
  </si>
  <si>
    <t>10622/2565</t>
  </si>
  <si>
    <t>ผู้ช่วยศาสตราจารย์ ดร.จรรยพัฒน์ แสงสุวรรณ 10%</t>
  </si>
  <si>
    <t>ผลกระทบของเวลาในการให้กระแสไฟฟ้าพัลส์ต่อคุณสมบัติทางกายภาพแป้งสาลี</t>
  </si>
  <si>
    <t>ผู้ช่วยศาสตราจารย์ ดร.ปิยะดา อาชายุทธการ 100%</t>
  </si>
  <si>
    <t>10620/2565</t>
  </si>
  <si>
    <t>การเปลี่ยนแปลงความหลากชนิดของนก และการใช้ประโยชน์พื้นที่ของนก บริเวณแนวชายฝั่งทะเล  อำเภอเมือง จังหวัดสมุทรสงคราม</t>
  </si>
  <si>
    <t xml:space="preserve">	ผู้ช่วยศาสตราจารย์นิธินาถ เจริญโภคราช 80%</t>
  </si>
  <si>
    <t>10884/2565</t>
  </si>
  <si>
    <t>อาจารย์เพชรพนม จิตมั่น 10%</t>
  </si>
  <si>
    <t>ผู้ช่วยศาสตราจารย์ ดร.วลัยพร ผ่อนผัน 10%</t>
  </si>
  <si>
    <t>การพัฒนาแอปพลิเคชันวินิจฉัย และติดตามผู้ป่วยโรคเบาหวานในชุมชน</t>
  </si>
  <si>
    <t xml:space="preserve">	รองศาสตราจารย์ ดร.กัลยณัฎฐ์ กุหลาบเพ็ชรทอง 85%</t>
  </si>
  <si>
    <t>10595/2565</t>
  </si>
  <si>
    <t>ผู้ช่วยศาสตราจารย์จารุวรรณ ฉัตรทอง 5%</t>
  </si>
  <si>
    <t>ผู้ช่วยศาสตราจารย์ ดร.จรรยพัฒน์ แสงสุวรรณ 5%</t>
  </si>
  <si>
    <t xml:space="preserve">	ผู้ช่วยศาสตราจารย์รุจิจันทร์ วิชิวานิเวศน์ 5%</t>
  </si>
  <si>
    <t>การสร้างมูลค่าเพิ่มการท่องเที่ยวสปาไทยด้วยนวัตกรรมต้นแบบผลิตภัณฑ์อาหารและเครื่องดื่มสมุนไพรแปรรูปบนฐานภูมิปัญญาท้องถิ่นจังหวัดระนอง</t>
  </si>
  <si>
    <t>อาจารย์ชเนศ วรรณะ 85%</t>
  </si>
  <si>
    <t>งป 11031/2565</t>
  </si>
  <si>
    <t xml:space="preserve">	ผู้ช่วยศาสตราจารย์ ดร.นฤมล บุญมั่น 5%</t>
  </si>
  <si>
    <t>อาจารย์ศิริรัตน์ พักปากน้ำ 5%</t>
  </si>
  <si>
    <t>ผู้ช่วยศาสตราจารย์ ดร.วชิราภรณ์ พิกุลทอง 5%</t>
  </si>
  <si>
    <t>แพลตฟอร์มท่องเที่ยวสปาสร้างสรรค์บนฐานภูมิปัญญาท้องถิ่นและวัฒนธรรมจังหวัดระนอง</t>
  </si>
  <si>
    <t>อาจารย์ณัฐชา วัฒนประภา 60%</t>
  </si>
  <si>
    <t>งป 11035/2565</t>
  </si>
  <si>
    <t>อาจารย์จิรวัฒน์ สุดสวาท 8%</t>
  </si>
  <si>
    <t>อาจารย์ภาชญา เชี่ยวชาญ 4%</t>
  </si>
  <si>
    <t>อาจารย์ ดร.ธนากร อุยพานิชย์ 4%</t>
  </si>
  <si>
    <t xml:space="preserve">	ผู้ช่วยศาสตราจารย์ณัฐภัทร แก้วรัตนภัทร์ 4%</t>
  </si>
  <si>
    <t>อาจารย์ ดร.จารุมน หนูคง 4%</t>
  </si>
  <si>
    <t>อาจารย์วรรณรัตน์ บรรจงเขียน 4%</t>
  </si>
  <si>
    <t>อาจารย์ทัศนันท์ ชูโตศรี 4%</t>
  </si>
  <si>
    <t>อาจารย์พงพิสิษฐ์ เลี้ยงอยู่ 4%</t>
  </si>
  <si>
    <t>อาจารย์พงศกร กิ่งสุวรรณกุล 4%</t>
  </si>
  <si>
    <t>การยกระดับคุณภาพมาตรฐานการท้องเที่ยวสีเขียวโดยชุมชนเขตพื้นที่จังหวัดอุดรธานีด้วยต้นแบบนวัตกรรมผลิตภัณฑ์อาหารสุขภาพแปรรูปบนฐานภูมิปัญญาท้องถิ่นอย่างยั่งยืน</t>
  </si>
  <si>
    <t>อาจารย์ชเนศ วรรณะ</t>
  </si>
  <si>
    <t>งป 11041/2565</t>
  </si>
  <si>
    <t>แพลตฟอร์มการท้องเที่ยวเชิงการอนุรักษ Ecotourism จังหวัดอุดรธานี สู่การยกระดับมาตรฐานสินค้าและบริการสู่การเพิ่มขีดความสามารถในการแข่งขันได้อย่างยั่งยืน</t>
  </si>
  <si>
    <t>งป 11046/2565</t>
  </si>
  <si>
    <t>อาจารย์ ดร.ธนากร อุยพานิชย์ 5%</t>
  </si>
  <si>
    <t xml:space="preserve">	ผู้ช่วยศาสตราจารย์ณัฐภัทร แก้วรัตนภัทร์ 5%</t>
  </si>
  <si>
    <t>อาจารย์ ดร.จารุมน หนูคง 5%</t>
  </si>
  <si>
    <t>อาจารย์ ดร.สาวิตรี ผิวงาม 4%</t>
  </si>
  <si>
    <t xml:space="preserve"> โรงเรียนมัธยมสาธิต</t>
  </si>
  <si>
    <t>การพัฒนานวัตกรรมเครื่องสําอางจากข้าวไรซ์เบอรี่</t>
  </si>
  <si>
    <t>ผู้ช่วยศาสตราจารย์ ดร.ยุทธนา สุดเจริญ 60%</t>
  </si>
  <si>
    <t>งป 11054/2565</t>
  </si>
  <si>
    <t>อาจารย์ ดร.นรินทร์ กากะทุม 20%</t>
  </si>
  <si>
    <t>ผู้ช่วยศาสตราจารย์ ดร.คณิตดา ทองขาว 10%</t>
  </si>
  <si>
    <t>รองศาสตราจารย์ ดร.รจนา จันทราสา 5%</t>
  </si>
  <si>
    <t>ผู้ช่วยศาสตราจารย์ ดร.พิมพร ทองเมือง 5%</t>
  </si>
  <si>
    <t>การพัฒนาผลิตภัณฑ์สุขภาพจากสมุนไพรท้องถิ่นเอกลักษณ์จังหวัดสมุทรสงคราม</t>
  </si>
  <si>
    <t>ผู้ช่วยศาสตราจารย์ ดร.ยุทธนา สุดเจริญ 35%</t>
  </si>
  <si>
    <t>งป 11056/2565</t>
  </si>
  <si>
    <t>ผู้ช่วยศาสตราจารย์ ดร.คณิตดา ทองขาว 30%</t>
  </si>
  <si>
    <t>อาจารย์ ดร.นรินทร์ กากะทุม 30%</t>
  </si>
  <si>
    <t>ผลิตภัณฑ์ส่งเสริมสุขภาพช่องปากและลําคอจากผลมะม่วงหาวมะนาวโห่</t>
  </si>
  <si>
    <t>ผู้ช่วยศาสตราจารย์ ดร.ยุทธนา สุดเจริญ 55%</t>
  </si>
  <si>
    <t>งป 11057/2565</t>
  </si>
  <si>
    <t>ผู้ช่วยศาสตราจารย์ ดร.คณิตดา ทองขาว 20%</t>
  </si>
  <si>
    <t>ผลิตภัณฑ์บํารุงดูแลผิวจากชะคราม</t>
  </si>
  <si>
    <t>ผู้ช่วยศาสตราจารย์ ดร.คณิตดา ทองขาว 50%</t>
  </si>
  <si>
    <t>งป 11058/2565</t>
  </si>
  <si>
    <t>ผู้ช่วยศาสตราจารย์ ดร.ยุทธนา สุดเจริญ 25%</t>
  </si>
  <si>
    <t>การจัดการเชิงพื้นที่ด้วยเทคโนโลยีภูมิสารสนเทศ สำหรับการผลิตเกลือบนพื้นฐานภูมิปัญญาท้องถิ่น จังหวัดสมุทรสงคราม</t>
  </si>
  <si>
    <t>ผู้ช่วยศาสตราจารย์ ดร.วลัยพร ผ่อนผัน 90%</t>
  </si>
  <si>
    <t>งป 11062/2565</t>
  </si>
  <si>
    <t>ผู้ช่วยศาสตราจารย์ ดร.ทัศนาวลัย อุฑารสกุล 10%</t>
  </si>
  <si>
    <t>ต้นแบบอาหารปลากัดสำเร็จรูปสูตรเร่งสี และสูตรเสริมภูมิคุ้มกันโรคปลากัด</t>
  </si>
  <si>
    <t>อาจารย์ ดร.วัฒนา พันธุ์พืช 55%</t>
  </si>
  <si>
    <t>งป 11066/2565</t>
  </si>
  <si>
    <t xml:space="preserve">	ผู้ช่วยศาสตราจารย์กานต์ชนา สิทธิ์เหล่าถาวร 15%</t>
  </si>
  <si>
    <t>ผู้ช่วยศาสตราจารย์ธนขวัญ บุษบัน 15%</t>
  </si>
  <si>
    <t>อาจารย์ ดร.มนัสวี เดชกล้า 15%</t>
  </si>
  <si>
    <t>การพัฒนาวัคซีนชนิดกินเพื่อป้องกันโรคติดเชื้อเมกาโลไซติไวรัสในปลากัดไทย</t>
  </si>
  <si>
    <t>ผู้ช่วยศาสตราจารย์ธนขวัญ บุษบัน 40%</t>
  </si>
  <si>
    <t>งป 11067/2565</t>
  </si>
  <si>
    <t>อาจารย์ ดร.วัฒนา พันธุ์พืช 30%</t>
  </si>
  <si>
    <t>ผู้ช่วยศาสตราจารย์กานต์ชนา สิทธิ์เหล่าถาวร 10%</t>
  </si>
  <si>
    <t>อาจารย์ ดร.มนัสวี เดชกล้า 10%</t>
  </si>
  <si>
    <t xml:space="preserve">	ผู้ช่วยศาสตราจารย์กัญญารัตน์ บุษบรรณ 10%</t>
  </si>
  <si>
    <t>การพัฒนาดิจิทัลการตลาดอัจฉริยะด้วยเทคโนโลยีเสมือนจริง สู่การเผยแพร่องค์ความรู้และส่งเสริมการท่องเที่ยวเชิงเกษตรสร้างสรรค์ เพื่อพัฒนาเศรษฐกิจฐานรากบ้านในวงใต้ อำเภอละอุ่น จังหวัดระนอง</t>
  </si>
  <si>
    <t xml:space="preserve">	ผู้ช่วยศาสตราจารย์ ดร.พิจิตรา จอมศรี 40%</t>
  </si>
  <si>
    <t>งป 11090/2565</t>
  </si>
  <si>
    <t>อาจารย์ ดร.ทมนี สุขใส 40%</t>
  </si>
  <si>
    <t xml:space="preserve"> วิทยาลัยโลจิสติกส์และซัพพลายเชน</t>
  </si>
  <si>
    <t>อาจารย์กิตติยา พูนศิลป์ 10%</t>
  </si>
  <si>
    <t>อาจารย์ ดร.ดุลยวิทย์ ปรางชุมพล 10%</t>
  </si>
  <si>
    <t>การพัฒนาอัตลักษณ์สินค้าดุสิตแบรนด์สู่ตลาดอัจฉริยะ (Intelligence Market) สร้างคุณค่าและมูลค่าให้เศรษฐกิจฐานรากมั่นคง ยั่งยืน</t>
  </si>
  <si>
    <t>ผู้ช่วยศาสตราจารย์ ดร.สุมิตรา นวลมีศรี 95%</t>
  </si>
  <si>
    <t>งป 11091/2565</t>
  </si>
  <si>
    <t>ผู้ช่วยศาสตราจารย์ ดร.ปรีดาวรรณ เกษเมธีการุณ 5%</t>
  </si>
  <si>
    <t>การพัฒนากระบวนการผลิตและควบคุมคุณภาพผลิตภัณฑ์เกลือทะเลจังหวัดสมุทรสงคราม เพื่อเข้าสู่มาตรฐานอุตสาหกรรม</t>
  </si>
  <si>
    <t xml:space="preserve">อาจารย์ ดร.พลอยทราย โอฮาม่า </t>
  </si>
  <si>
    <t>งป 11092/2565</t>
  </si>
  <si>
    <t>การพัฒนากระบวนการผลิตเพื่อยกระดับคุณภาพเกลือทะเลจังหวัดสมุทรสงครามเข้าสู่มาตรฐานเกลือบริโภค</t>
  </si>
  <si>
    <t>ผู้ช่วยศาสตราจารย์ ดร.จิตรลดา ชูมี 35%</t>
  </si>
  <si>
    <t>งป 11093/2565</t>
  </si>
  <si>
    <t>อาจารย์ ดร.พลอยทราย โอฮาม่า 35%</t>
  </si>
  <si>
    <t>ผู้ช่วยศาสตราจารย์ ดร.ชินวัฒน์ ศาสนนันทน์ 10%</t>
  </si>
  <si>
    <t>อาจารย์ ดร.สาริสา ปิ่นคำ 10%</t>
  </si>
  <si>
    <t>ผู้ช่วยศาสตราจารย์กัญญารัตน์ บุษบรรณ 10%</t>
  </si>
  <si>
    <t>ดิน นํ้า ลม แดด โมเดล : นวัตกรรมพลังงานทดแทนในนาเกลือเพื่อส่งเสริมการประกอบอาชีพอย่างยั่งยืน</t>
  </si>
  <si>
    <t xml:space="preserve">	ผู้ช่วยศาสตราจารย์ ดร.ศันสนีย์ แสนศิริพันธ์ 60%</t>
  </si>
  <si>
    <t>งป 11095/2565</t>
  </si>
  <si>
    <t>อาจารย์ ดร.พลอยทราย โอฮาม่า 20%</t>
  </si>
  <si>
    <t>ผู้ช่วยศาสตราจารย์ ดร.ณรัล ลือวรศิริกุล 10%</t>
  </si>
  <si>
    <t>การศึกษาเปรียบเทียบผลของเกลือที่มีต่อคุณภาพอาหารหมักดอง</t>
  </si>
  <si>
    <t>งป 11097/2565</t>
  </si>
  <si>
    <t xml:space="preserve">ผู้ช่วยศาสตราจารย์ ดร.จิตรลดา ชูมี 20% </t>
  </si>
  <si>
    <t>ผู้ช่วยศาสตราจารย์ ดร.รินรดา พัฒนใหญ่ยิ่ง 10%</t>
  </si>
  <si>
    <t>รองศาสตราจารย์ ดร.ศิริลักษณ์ นามวงษ์ 10%</t>
  </si>
  <si>
    <t>อาจารย์ ดร.สกุลตรา ค้ำชู 10%</t>
  </si>
  <si>
    <t>อาจารย์ ดร.เสาวณีย์ คำพันธ์ 30%</t>
  </si>
  <si>
    <t>นวัตกรรมผลิตภัณฑ์เกลือทะเลเพื่อสุขภาพและความงาม</t>
  </si>
  <si>
    <t>ผู้ช่วยศาสตราจารย์ ดร.วนิดา วอนสวัสดิ์ 50%</t>
  </si>
  <si>
    <t>งป 11100/2565</t>
  </si>
  <si>
    <t>ผู้ช่วยศาสตราจารย์กัญญารัตน์ บุษบรรณ 30%</t>
  </si>
  <si>
    <t>อาจารย์รัตนชัย ไทยประทุม 10%</t>
  </si>
  <si>
    <t>อาจารย์ ดร.จาริวัฒน์ พิษณุวงศ์ 10%</t>
  </si>
  <si>
    <t>การพัฒนาศักยภาพในการผลิตพืชเศรษฐกิจในพื้นที่จังหวัดสมุทรสงคราม</t>
  </si>
  <si>
    <t xml:space="preserve">ผู้ช่วยศาสตราจารย์ ดร.โสพิศ สว่างจิตร 40%
</t>
  </si>
  <si>
    <t>งป 11102/2565</t>
  </si>
  <si>
    <t xml:space="preserve">ผู้ช่วยศาสตราจารย์ ดร.จันทนา กาญจน์กมล 20%
</t>
  </si>
  <si>
    <t xml:space="preserve">ผู้ช่วยศาสตราจารย์ ดร.รินรดา พัฒนใหญ่ยิ่ง 20%
</t>
  </si>
  <si>
    <t>ผู้ช่วยศาสตราจารย์ ดร.สุมิตรา นวลมีศรี 20%</t>
  </si>
  <si>
    <t>การพัฒนาศักยภาพการอนุรักษ์ทรัพยากรธรรมชาติ สิ่งแวดล้อมและสร้างเครือข่ายเส้นทางท่องเที่ยวเพื่อสร้างความยั่งยืนของการท่องเที่ยวเชิงเกษตรสร้างสรรค์ เพื่อพัฒนาเศรษฐกิจฐานรากบ้านในวงใต้ อำเภอละอุ่น จังหวัดระนอง : ทุเรียน GI</t>
  </si>
  <si>
    <t>ผู้ช่วยศาสตราจารย์ ดร.ทัศนาวลัย อุฑารสกุล 70%</t>
  </si>
  <si>
    <t>งป 11104/2565</t>
  </si>
  <si>
    <t xml:space="preserve">ผู้ช่วยศาสตราจารย์ ดร.ฒาลิศา เนียมมณี 10%
</t>
  </si>
  <si>
    <t xml:space="preserve">ผู้ช่วยศาสตราจารย์ นิธินาถ เจริญโภคราช 10%
</t>
  </si>
  <si>
    <t>การศึกษาเปรียบเทียบปริมาณของธาตุ สารอาหาร สารพฤกษเคมี และฤทธิ์ต้านอนุมูลอิสระของส้มโอพันธุ์ขาวใหญ่ที่ปลูกในสภาวะของดิน และปุ๋ยที่แตกต่างกัน ในเขตอําเภอบางคนที จังหวัดสมุทรสงคราม</t>
  </si>
  <si>
    <t xml:space="preserve">ผู้ช่วยศาสตราจารย์ ดร. จันทนา กาญจน์กมล 90%
</t>
  </si>
  <si>
    <t>งป 11105/2565</t>
  </si>
  <si>
    <t>ผู้ช่วยศาสตราจารย์ ดร.โสพิศ สว่างจิตร 10%</t>
  </si>
  <si>
    <t>การศึกษาความหลากหลายของแบคทีเรียแลคติก และแบคทีเรียที่มีคุณสมบัติในการกระตุ้นการเจริญของพืชในนํ้าหมักจากวัสดุเศษเหลือทางการเกษตร</t>
  </si>
  <si>
    <t xml:space="preserve">ผู้ช่วยศาสตราจารย์ ดร.รินรดา พัฒนใหญ่ยิ่ง 70%
</t>
  </si>
  <si>
    <t>งป 11108/2565</t>
  </si>
  <si>
    <t xml:space="preserve">ผู้ช่วยศาสตราจารย์ ดร.โสพิศ สว่างจิตร 20%
</t>
  </si>
  <si>
    <t>รองศาสตราจารย์ ดร.ชัยศรี ธาราสวัสดิ์พิพัฒน์ 10%</t>
  </si>
  <si>
    <t>การควบคุมจุลินทรีย์สาเหตุโรคของส้มโอและกล้วยหอมทองในจังหวัดสมุทรสงครามโดยอนุภาคซิลเวอร์นาโนที่เป็นมิตรต่อสิ่งแวดล้อม</t>
  </si>
  <si>
    <t xml:space="preserve">ผู้ช่วยศาสตราจารย์ ดร.โสพิศ สว่างจิตร 95%
</t>
  </si>
  <si>
    <t>งป 11111/2565</t>
  </si>
  <si>
    <t>ผู้ช่วยศาสตราจารย์ ดร.รินรดา พัฒนใหญ่ยิ่ง 5%</t>
  </si>
  <si>
    <t>การพัฒนาการวิเคราะห์ค่านํ้าตาลจากผลไม้สุกด้วยเทคนิคการเรียนรู้เชิงลึก (Deep Learning) บนโมบายแอปพลิเคชันและระบบฐานข้อมูล QR Code เพื่อการสร้างช่องทางการตลาดบนสื่อสังคมออนไลน์ของผลไม้สุกแบบปัจเจกบุคคลสําหรับผู้ป่วยโรคเบาหวาน</t>
  </si>
  <si>
    <t xml:space="preserve">ผู้ช่วยศาสตราจารย์ ดร.สุมิตรา นวลมีศรี 95% 
</t>
  </si>
  <si>
    <t>งป 11114/2565</t>
  </si>
  <si>
    <t>ผู้ช่วยศาสตราจารย์ ดร.ปรีดาวรรณ เกษเมธีการุณ  5%</t>
  </si>
  <si>
    <t>การพัฒนาและแปรรูปผลผลิตเพื่อเพิ่มมูลค่าพืชเศรษฐกิจในพื้นที่จังหวัดสมุทรสงคราม</t>
  </si>
  <si>
    <t xml:space="preserve">
</t>
  </si>
  <si>
    <t xml:space="preserve">ผู้ช่วยศาสตราจารย์ ดร.รินรดา พัฒนใหญ่ยิ่ง  30%
</t>
  </si>
  <si>
    <t>งป 11117/2565</t>
  </si>
  <si>
    <t xml:space="preserve">อาจารย์สกุลตรา ค้ำชู 25%
</t>
  </si>
  <si>
    <t xml:space="preserve">ผู้ช่วยศาสตราจารย์จารุวรรณ ฉัตรทอง 10%
</t>
  </si>
  <si>
    <t xml:space="preserve">อาจารย์ ดร.พิมลพร พงศ์ทองคำ 10%
</t>
  </si>
  <si>
    <t>อาจารย์กมลวรรณ ตั้งเจริญบำรุงสุข 25%</t>
  </si>
  <si>
    <t>การพัฒนาผลิตภัณฑ์คีเฟอร์นํ้ามะพร้าวเพื่อเพิ่มมูลค่าผลผลิตทางการเกษตรในจังหวัดสมุทรสงคราม</t>
  </si>
  <si>
    <t xml:space="preserve">ผู้ช่วยศาสตราจารย์ ดร.รินรดา พัฒนใหญ่ยิ่ง 50%
</t>
  </si>
  <si>
    <t>งป 11119/2565</t>
  </si>
  <si>
    <t xml:space="preserve">ผู้ช่วยศาสตราจารย์จารุวรรณ ฉัตรทอง 15%
</t>
  </si>
  <si>
    <t>อาจารย์ ดร.พิมลพร พงศ์ทองคำ 35%</t>
  </si>
  <si>
    <t>การศึกษาเอกลักษณทางเภสัชเวทของยาสมุนไพรไทย จำนวน 10 ชนิด</t>
  </si>
  <si>
    <t xml:space="preserve">ผู้ช่วยศาสตราจารย์ธนขวัญ บุษบัน 70%
</t>
  </si>
  <si>
    <t>งป 11138/2565</t>
  </si>
  <si>
    <t xml:space="preserve">อาจารย์ พท.ป.กิตติศักดิ์ แคล้ว จันทร์สุข 10%
</t>
  </si>
  <si>
    <t xml:space="preserve"> วิทยาลัยสหเวชศาสตร์
</t>
  </si>
  <si>
    <t xml:space="preserve">อาจารย์ พท.ป.อนงค์นุช ทุมปัด 10%
</t>
  </si>
  <si>
    <t xml:space="preserve">ผู้ช่วยศาสตราจารย์ชุติมา คล้ายสังข์  5%
</t>
  </si>
  <si>
    <t xml:space="preserve"> คณะวิทยาการจัดการ
</t>
  </si>
  <si>
    <t>การจัดทำฐานข้อมูลการผลิตอาหารทะเลพื้นบ้านจังหวัดระนองเพื่อการบริหารจัดการและการพยากรณ์ผลผลิตสู่การวางแผนพัฒนาการผลิตอย่างอย่างยั่งยืน</t>
  </si>
  <si>
    <t xml:space="preserve">
</t>
  </si>
  <si>
    <t xml:space="preserve">ผู้ช่วยศาสตราจารย์ ดร.กิตติคุณ มีทองจันทร์ 30%
</t>
  </si>
  <si>
    <t>งป 11171/2565</t>
  </si>
  <si>
    <t xml:space="preserve">ผู้ช่วยศาสตราจารย์ ดร.ปรีชา วรารัตน์ไชย 10%
</t>
  </si>
  <si>
    <t xml:space="preserve">วิทยาลัยโลจิสติกส์และซัพพลายเชน
</t>
  </si>
  <si>
    <t xml:space="preserve">อาจารย์ ดร.ชูเกียรติ ผุดพรมราช 10%
</t>
  </si>
  <si>
    <t xml:space="preserve">ผู้ช่วยศาสตราจารย์เสถียร จันทร์ปลา 10%
</t>
  </si>
  <si>
    <t xml:space="preserve">ผู้ช่วยศาสตราจารย์นิศานาถ เตชะเพชรไพบูลย์ 10%
</t>
  </si>
  <si>
    <t xml:space="preserve">อาจารย์ ดร.นิรชราภา ทองธรรมชาติ 5%
</t>
  </si>
  <si>
    <t xml:space="preserve">ผู้ช่วยศาสตราจารย์ ดร.นิยม สุวรรณเดช 5%
</t>
  </si>
  <si>
    <t xml:space="preserve">อาจารย์ศิริเดช ศิริสมบูรณ์ 5%
</t>
  </si>
  <si>
    <t xml:space="preserve">วิทยาลัยนิเทศศาสตร์
</t>
  </si>
  <si>
    <t xml:space="preserve">อาจารย์เอกพจน์ ธนะสิริ 5%
</t>
  </si>
  <si>
    <t xml:space="preserve">ผู้ช่วยศาสตราจารย์ ดร.เจตน์สฤษฎิ์ อังศุกาญจนกุล 5%
</t>
  </si>
  <si>
    <t xml:space="preserve">วิทยาลัยการเมืองและการปกครอง
</t>
  </si>
  <si>
    <t>อาจารย์วทัญญู ชูภักตร์ 5%</t>
  </si>
  <si>
    <t>วิทยาลัยโลจิสติกส์และซัพพลายเชน</t>
  </si>
  <si>
    <t>โครงการศึกษาและพัฒนาต้นแบบการจัดทำสำมะโนประชากรและเคหะแบบบูรณาการ (One census)</t>
  </si>
  <si>
    <t>ผู้ช่วยศาสตราจารย์ ดร.วลัยพร ผ่อนผัน 50%</t>
  </si>
  <si>
    <t>สำนักงานสถิติแห่งชาติ</t>
  </si>
  <si>
    <t>002/2565</t>
  </si>
  <si>
    <t>ดร.ณิช วงศ์ส่องจ้า 10%</t>
  </si>
  <si>
    <t>ผู้ช่วยศาสตราจารย์ ดร.ฒาลิศา  เนียมมณี 10%</t>
  </si>
  <si>
    <t>ผู้ช่วยศาสตราจารย์ ดร.กันยพัชร์ ธนกุลวุฒิโรจน์ 10%</t>
  </si>
  <si>
    <t>ผู้ช่วยศาสตราจารย์มรกต วรชัยรุ่งเรือง 10%</t>
  </si>
  <si>
    <t>ดร.บุศรินทร์ เอี่ยมธนากุล 5%</t>
  </si>
  <si>
    <t>ผลกระทบของเวลาในการให้กระแสไฟฟ้าพัลส์ต่อการแปรรูปผลิตภัณฑ์ขนมปัง</t>
  </si>
  <si>
    <t>อาจารย์ณัฐพล ประเทิงจิตต์ 85%</t>
  </si>
  <si>
    <t>10838/2565</t>
  </si>
  <si>
    <t>อาจารย์กัญญาพัชร เพชราภรณ์ 5%</t>
  </si>
  <si>
    <t>อาจารย์ ดร.ณิช วงศ์ส่องจ้า 5%</t>
  </si>
  <si>
    <t>ผู้ช่วยศาสตราจารย์ ดร.ปิยะดา อาชายุทธการ 5%</t>
  </si>
  <si>
    <t>เปรียบเทียบอิทธิพลของการทำแห้งแบบลมร้อนกับแบบแช่เยือกแข็งต่อคุณสมบัติทางเคมีกายภาพและเชิงหน้าที่ของผงเคล</t>
  </si>
  <si>
    <t>ผู้ช่วยศาสตราจารย์ ดร.ธนิดา ฉั่วเจริญ 80%</t>
  </si>
  <si>
    <t>10777/2565</t>
  </si>
  <si>
    <t>อาจารย์จุฑามาศ มูลวงศ์ 10%</t>
  </si>
  <si>
    <t>อาจารย์กัญญาพัชร เพชราภรณ์ 10%</t>
  </si>
  <si>
    <t>การพัฒนาเส้นพาสต้าสดเสริมผงผักเคลเพื่อเพิ่มคุณค่าทางโภชนาการและฤทธิ์ต้านอนุมูลอิสระ</t>
  </si>
  <si>
    <t>อาจารย์จุฑามาศ มูลวงศ์ 90%</t>
  </si>
  <si>
    <t>10790/2565</t>
  </si>
  <si>
    <t>ผู้ช่วยศาสตราจารย์ ดร.ธนิดา ฉั่วเจริญ 5%</t>
  </si>
  <si>
    <t>การผลิตภัณฑ์คุกกี้เนยสดเสริมพัฒนาผงเห็ดนางฟ้า</t>
  </si>
  <si>
    <t>อาจารย์กัญญาพัชร เพชราภรณ์ 80%</t>
  </si>
  <si>
    <t>10807/2565</t>
  </si>
  <si>
    <t>อาจารย์จุฑามาศ มูลวงศ์ 5%</t>
  </si>
  <si>
    <t>อาจารย์ณัฐพล ประเทิงจิตต์ 5%</t>
  </si>
  <si>
    <t>อาจารย์กฤษณธร สาเอี่ยม 5%</t>
  </si>
  <si>
    <t>การติดตามการเปลี่ยนแปลงของแนวชายฝั่งทะเลต่อความหลากชนิดของนก และการใช้ประโยชน์พื้นที่ของนก จังหวัดสมุทรสงคราม</t>
  </si>
  <si>
    <t>ผู้ช่วยศาสตราจารย์ ดร.วลัยพร ผ่อนผัน 25%</t>
  </si>
  <si>
    <t>10828/2565</t>
  </si>
  <si>
    <t>ผู้ช่วยศาสตราจารย์ ดร.พรรณทิพย์ กาหยี 6%</t>
  </si>
  <si>
    <t>รองศาสตราจารย์ศิวพันธุ์ ชูอินทร์ 5%</t>
  </si>
  <si>
    <t>ผู้ช่วยศาสตราจารย์ ดร.ฒาลิศา เนียมมณี 35%</t>
  </si>
  <si>
    <t>ผู้ช่วยศาสตราจารย์ ดร.ทัศนาวลัย อุฑารสกุล 5%</t>
  </si>
  <si>
    <t>ผู้ช่วยศาสตราจารย์นิธินาถ เจริญโภคราช 5%</t>
  </si>
  <si>
    <t>ผู้ช่วยศาสตราจารย์ ดร.ณรัล ลือวรศิริกุล 2%</t>
  </si>
  <si>
    <t>รองศาสตราจารย์ ดร.อมรา อิทธิพงษ์ 2%</t>
  </si>
  <si>
    <t>ผู้ช่วยศาสตราจารย์ ดร.วิชาญ เลิศลพ 2%</t>
  </si>
  <si>
    <t>อาจาร์ ดร.อเสข ขันธวิชัย 2%</t>
  </si>
  <si>
    <t>อาจารย์ธนัฐ กรอบทอง 2%</t>
  </si>
  <si>
    <t>ผู้ช่วยศาสตราจารย์ ดร.ไพลิน ชยาภัม 2%</t>
  </si>
  <si>
    <t>รองศาสตราจารย์ ดร.โกมล ไพศาล 2%</t>
  </si>
  <si>
    <t>ผู้ช่วยศาสตราจารย์ ดร.รณบรรจบ อภิรติกุล 5%</t>
  </si>
  <si>
    <t>การประยุกต์ใช้ภูมิสารสนเทศเพื่อประเมินพื้นที่ป่าชายเลนและหาดเลนที่เป็นแหล่งอาศัยของนก จังหวัดสมุทรสงคราม</t>
  </si>
  <si>
    <t>ผู้ช่วยศาสตราจารย์ ดร.วลัยพร ผ่อนผัน 40%</t>
  </si>
  <si>
    <t>10765/2565</t>
  </si>
  <si>
    <t>อาจารย์ ดร.บุศรินทร์ เอี่ยมธนากุล 2%</t>
  </si>
  <si>
    <t>ผู้ช่วยศาสตราจารย์สมฤดี พงษ์เสนา 2%</t>
  </si>
  <si>
    <t>อาจารย์กัญญา บวรโชคชัย 2%</t>
  </si>
  <si>
    <t>ผู้ช่วยศาสตราจารย์กัญญารัตน์ บุษบรรณ 2%</t>
  </si>
  <si>
    <t>ผู้ช่วยศาสตราจารย์ ดร.ฒาลิศา เนียมมณี 45%</t>
  </si>
  <si>
    <t>ประสิทธิผลของการออกกำลังกาย ด้วยรำวงมาตรฐานต่อสุขภาพผู้สูงอายุในชุมชน</t>
  </si>
  <si>
    <t>ผู้ช่วยศาสตราจารย์ ดร.คมกฤช รัตตะมณี 80%</t>
  </si>
  <si>
    <t>10851/2565</t>
  </si>
  <si>
    <t>ผู้ช่วยศาสตราจารย์ ดร.วรรณวิมล เมฆวิมล กิ่งแก้ว 5%</t>
  </si>
  <si>
    <t>ผู้ช่วยศาสตราจารย์ ดร.ปิยดา วงศ์วิวัฒน์ 5%</t>
  </si>
  <si>
    <t>อาจารย์ ดร.กันตพงษ์ ปราบสงบ 5%</t>
  </si>
  <si>
    <t>อาจารย์นิวัฒน์ ทรงศิลป์ 5%</t>
  </si>
  <si>
    <t>น้ำส้มสายชูหมักจากน้ำตาลสด</t>
  </si>
  <si>
    <t>น้ำส้มสายชูหมักจากน้ำต่าลสด</t>
  </si>
  <si>
    <t>ผู้ช่วยศาสตราจารย์ ดร.วนิดา วอนสวัสดิ์</t>
  </si>
  <si>
    <t>10525/2565</t>
  </si>
  <si>
    <t>The radioluminescence investigation of lead sodium borate doped with  Sm3+ glass scintillator</t>
  </si>
  <si>
    <t>รองศาสตราจารย์ ดร.ณรงค์ สังวาระนที</t>
  </si>
  <si>
    <t>11189/2565</t>
  </si>
  <si>
    <t>LUMINESCENCE PROPERTIES OF DY3+ IONS DOPED IN  B2O3-AL2O3-CAO-NA2O GLASS FOR SOLID STATE  LIGHTING APPLICATIONS</t>
  </si>
  <si>
    <t>11190/2565</t>
  </si>
  <si>
    <t>Physical and Luminescence Studies of Er3+-Doped into Borate Glass for IR Lighting Application</t>
  </si>
  <si>
    <t>11193/2565</t>
  </si>
  <si>
    <t>Effects of maltodextrin on physicochemical properties of freeze-dried avocado powder</t>
  </si>
  <si>
    <t>ผู้ช่วยศาสตราจารย์ ดร.ธนิดา ฉั่วเจริญ90%</t>
  </si>
  <si>
    <t>11199/2565</t>
  </si>
  <si>
    <t>การพัฒนาผลิตภัณฑ์ใหม่จากมันสำปะหลัง : ผลิตภัณฑ์มันบดจากมันสำปะหลัง</t>
  </si>
  <si>
    <t>อาจารย์ กฤษณธร สาเอี่ยม 50%</t>
  </si>
  <si>
    <t>10986/2565</t>
  </si>
  <si>
    <t>อาจารย์ นฤมล เปียซื่อ 10%</t>
  </si>
  <si>
    <t>อาจารย์ นันท์ยง เฟื่องขจรฟุ้ง 10%</t>
  </si>
  <si>
    <t>อาจารย์ ปัทมา หิรัญโญภาส 10%</t>
  </si>
  <si>
    <t>อาจารย์ จิราพร วีณุตตรานนท์ 10%</t>
  </si>
  <si>
    <t>อาจารย์ ธิดารัตน์ แสนพรม 10%</t>
  </si>
  <si>
    <t>การศึกษาผลของอุณหภูมิและบรรจุภัณฑ์ในการเก็บรักษาต่อคุณลักษณะทางประสาทสัมผัสของคีเฟอร์น้ำมะพร้าว</t>
  </si>
  <si>
    <t>อาจารย์ ดร.พิมลพร พงศ์ทองคำ</t>
  </si>
  <si>
    <t>10988/2565</t>
  </si>
  <si>
    <t>ครีมกันแดดแบบ broad spectrum จากสารสกัดดอกไม้</t>
  </si>
  <si>
    <t>อาจารย์ ดร.พลอยทราย โอฮาม่า 60%</t>
  </si>
  <si>
    <t>10970/2565</t>
  </si>
  <si>
    <t>อาจารย์ ดร.เสาวณีย์ คำพันธ์ 20%</t>
  </si>
  <si>
    <t>ผู้ช่วยศาสตราจารย์ ดร. จิตรลดา ชูมี 20%</t>
  </si>
  <si>
    <t>การศึกษาคุณค่าทางโภชนาการของการเลี้ยงปลากะพงขาวในพื้นที่แหล่งน้ำธรรมชาติ ตามหลักปรัชญาเศรษฐกิจพอเพียง ศูนย์การศึกษาจังหวัดสมุทรสงคราม มหาวิทยาลัยราชภัฏ สวนสุนันทา และเกษตรกรผู้เลี้ยงปลากะพงขาวในพื้นที่จังหวัดสมุทรสงคราม</t>
  </si>
  <si>
    <t>อาจารย์ ชเนศ วรรณะ 60%</t>
  </si>
  <si>
    <t>11510/2565</t>
  </si>
  <si>
    <t>อาจารย์ ดร.แก่นเพชร ศรานนทวัฒน์ 20%</t>
  </si>
  <si>
    <t>วิทยาลัยนวัตกรรมและการจัดการ</t>
  </si>
  <si>
    <t>ผู้ช่วยศาสตราจารย์ ดร.ภญ.พิมพร ทองเมือง 20%</t>
  </si>
  <si>
    <t>นวัตกรรมการควบคุมและเฝ้าระวังปัจจัยทางกายภาพ และชีวภาพ ต่อการผลิตเกลือทะเลไทย จังหวัดสมุทรสงคราม</t>
  </si>
  <si>
    <t>รองศาสตราจารย์ ดร.ชัยศรี ธาราสวัสดิ์พิพัฒน์ 50%</t>
  </si>
  <si>
    <t>งป 11061/2565</t>
  </si>
  <si>
    <t>ผู้ช่วยศาสตราจารย์ ดร.มณฑารพ สุธาธรรม 25%</t>
  </si>
  <si>
    <t>การคัดแยกและจําแนกจุลินทรีย์ประจําถิ่นบริเวณบ้านบางแก้ว จ.สมุทรสงคราม เพื่อหาการปนเปื้อนของมลพิษทางนํ้าต่อการผลิตเกลือให้มีคุณภาพตามข้อกําหนดมาตรฐานสินค้าเกษตร : เกลือทะเลธรรมชาติ</t>
  </si>
  <si>
    <t>ผู้ช่วยศาสตราจารย์ ดร.มณฑารพ สุธาธรรม 50%</t>
  </si>
  <si>
    <t>งป 11064/2565</t>
  </si>
  <si>
    <t>อาจารย์ ศิริรัตน์ พักปากน้ำ 25%</t>
  </si>
  <si>
    <t>อาจารย์ mohammad bagher javadinobandegani 25%</t>
  </si>
  <si>
    <t>นวัตกรรมการตรวจสอบ ควบคุมคุณภาพน้ำ สำหรับการผลิตเกลือที่มีคุณภาพ จังหวัดสมุทรสงคราม</t>
  </si>
  <si>
    <t>รองศาสตราจารย์ ดร.ชัยศรี ธาราสวัสดิ์พิพัฒน์ 70%</t>
  </si>
  <si>
    <t>งป 11063/2565</t>
  </si>
  <si>
    <t>รองศาสตราจารย์ ศิวพันธุ์ ชูอินทร์ 10%</t>
  </si>
  <si>
    <t>ผู้ช่วยศาสตราจารย์ ดร.รณบรรจบ อภิรติกุล 10%</t>
  </si>
  <si>
    <t>อาจารย์ สุวิมล คุปติวุฒิ 10%</t>
  </si>
  <si>
    <t>ผู้ช่วยศาสตราจารย์ ดร.รินรดา พัฒนใหญ่ยิ่ง 50%</t>
  </si>
  <si>
    <t>ผู้ช่วยศาสตราจารย์ จารุวรรณ ฉัตรทอง 15%</t>
  </si>
  <si>
    <t>การแปรรูปผลิตภัณฑ์จากส้มโอตกเกรด กลุ่มบางสะแก จังหวัดสมุทรสงคราม</t>
  </si>
  <si>
    <t>อาจารย์ สกุลตรา ค้ำชู 80%</t>
  </si>
  <si>
    <t>งป 11121/2565</t>
  </si>
  <si>
    <t>อาจารย์ กมลวรรณ ตั้งเจริญบำรุงสุข 10%</t>
  </si>
  <si>
    <t>การยกระดับกระบวนการผลิตและเพิ่มคุณค่าทางอาหารของผลิตภัณฑ์จากส้มโอ กลุ่มบางสะแก จังหวัดสมุทรสงคราม</t>
  </si>
  <si>
    <t>อาจารย์ กมลวรรณ ตั้งเจริญบำรุงสุข 70%</t>
  </si>
  <si>
    <t>งป 11125/2565</t>
  </si>
  <si>
    <t>อาจารย์ สกุลตรา ค้ำชู 20%</t>
  </si>
  <si>
    <t>ผู้ช่วยศาสตราจารย์ รุจิจันทร์ วิชิวานิเวศน์ 5%</t>
  </si>
  <si>
    <t xml:space="preserve">โครงการวิจัยศึกษาผลกระทบสุขภาพและสิ่งแวดล้อมของพื้นที่เสี่ยงสุขภาพในประชาชนกลุ่มเสี่ยงสุขภาพและสิ่งมีชีวิตประเภทพืช ผัก ผลไม้ ปลาและหอยที่บริโภครวมทั้งดินและน้ำที่ประชาชนสัมผัสเป็นประจำ และการจัดทำแผนที่ความเสี่ยงสุขภาพและการติดตามสภาวะสุขภาพของกลุ่มเสี่ยงสุขภาพในชุมชน ตามมาตรการป้องกันและแก้ไขผลกระทบสิ่งแวดล้อมโครงการโรงไฟฟ้าพลังความร้อน 150 MW ปี พ.ศ.2564 </t>
  </si>
  <si>
    <t>บริษัท ทีพีไอ โพลีน เพาเวอร์ จำกัด (มหาชน)</t>
  </si>
  <si>
    <t>ภาคเอกชน</t>
  </si>
  <si>
    <t>รองศาสตราจารย์ ดร.ศิวพันธุ์ ชูอินทร์ 25%</t>
  </si>
  <si>
    <t>ใบสั่งจ้างเลขที่ H203203</t>
  </si>
  <si>
    <t>รองศาสตราจารย์ ดร.ไพบูลย์ แจ่มพงษ์  25%</t>
  </si>
  <si>
    <t>อาจารย์ ดร.ฒาลิศา เนียมมณี  25%</t>
  </si>
  <si>
    <t>ผู้ช่วยศาสตราจารย์ ดร.พรรณทิพย์ กาหยี  25%</t>
  </si>
  <si>
    <t xml:space="preserve">การจัดการความรู้และถ่ายทอดเทคโนโลยีการผลิตเครื่องดื่มเพื่อสุขภาพคีเฟอร์น้ำสับปะรดเพื่อการส่งเสริมและยกระดับรายได้ชองเกษตรชาวไร่สับปะรด จังหวัดระยอง </t>
  </si>
  <si>
    <t>สำนักงานการวิจัยแห่งชาติ (วช.)</t>
  </si>
  <si>
    <t>ผู้ช่วยศาสตราจารย์ ดร.รินรดา พัฒนใหญ่ยิ่ง 45%</t>
  </si>
  <si>
    <t>สัญญาเลขที่ N71B650031</t>
  </si>
  <si>
    <t>อาจารย์ ดร.พลอยทราย โอฮาม่า  15%</t>
  </si>
  <si>
    <t xml:space="preserve">การส่งเสริมการเรียนรู้ด้านระบบเฝ้าระวังการเปลี่ยนแปลงคุณภาพน้ำบนวิถีชุมชนเกษตรกรที่มีความเสี่ยงต่อการประกอบอาชีพในพื้นที่จังหวัดสมุทรสงคราม </t>
  </si>
  <si>
    <t>รองศาสตราจารย์ ดร.ชัยศรี ธาราสวัสดิ์พิพัฒน์  50%</t>
  </si>
  <si>
    <t>สัญญาเลขที่ N71B650072</t>
  </si>
  <si>
    <t>รองศาสตราจารย์ ดร.วิทยา เมฆขำ  30%</t>
  </si>
  <si>
    <t>ผู้ช่วยศาสตราจารย์ ดร.พรรณทิพย์ กาหยี   10%</t>
  </si>
  <si>
    <t>รองศาสตราจารย์ ดร.ศิวพันธุ์ ชูอินทร์  10%</t>
  </si>
  <si>
    <t>การจัดการความรู้การวิจัยและพัฒนาสับปะรดปัตตาเวีย จังหวัดระยอง ด้วยนวัตกรรมอาหารสร้างมูลค่าเพิ่มและบรรจุภัณฑ์จากของเหลือทิ้งทางการเกษตร เพื่อแก้ไขปัญหาสับปะรดล้นตลาด</t>
  </si>
  <si>
    <t>อาจารย์ ดร.พลอยทราย โอฮาม่า 25%</t>
  </si>
  <si>
    <t>สัญญาเลขที่ N71B650032</t>
  </si>
  <si>
    <t>อาจารย์ ดร.เสาวณีย์ คำพันธ์ 25%</t>
  </si>
  <si>
    <t>ผู้ช่วยศาสตราจารย์ ดร. จิตรลดา ชูมี 25%</t>
  </si>
  <si>
    <t>ผู้ช่วยศาสตราจารย์ ดร.รินรดา พัฒนใหญ่ยิ่ง  15%</t>
  </si>
  <si>
    <t>อาจารย์สกุลตรา ค้ำชู  10%</t>
  </si>
  <si>
    <t>เครื่องมือวิเคราะห์อัตราส่วนจำนวนชั่วโมงสอนออนไลน์ต่อออนไซต์ กรณี รายวิชาหลักสูตรวิทยาการคอมพิวเตอร์และนวัตกรรมข้อมูล คณะวิทยาศาสตร์และเทคโนโลยี มหาวิทยาลัยราชภัฏสวนสุนันทา</t>
  </si>
  <si>
    <t>รศ.ดร.นลินี โสพัศสถิตย์</t>
  </si>
  <si>
    <t>วจ/วท. 1 / 2565</t>
  </si>
  <si>
    <t>การตรวจหาคราบเลือดแห้งบนผ้าฝ้ายที่ผ่านการซักด้วยผงซักฟอกและน้ำยาซักผ้าขาว  ด้วยการทดสอบฟีนอล์ฟทาลีนและฮีมาสติกซ</t>
  </si>
  <si>
    <t>อาจารย์ ดร.ฤทัยรัตน์ สิริวัฒนรัชต์</t>
  </si>
  <si>
    <t>วจ/วท. 2/2565</t>
  </si>
  <si>
    <t>การพัฒนาแอปพลิเคชันการแนะนำการท่องเที่ยวแบบปรับตัวเพื่อส่งเสริมการท่องเที่ยวในเมืองใหม่</t>
  </si>
  <si>
    <t>ผศ.ดร.สุมิตรา นวลมีศรี</t>
  </si>
  <si>
    <t>10960/2565</t>
  </si>
  <si>
    <t>Unraveling Techniques for Plant Microbiome Structure Analysis</t>
  </si>
  <si>
    <t>อาจารย์ mohammad bagher javadinobandegani</t>
  </si>
  <si>
    <t>11545/2565</t>
  </si>
  <si>
    <t>Application of hierarchical clustering to Analze Solvent</t>
  </si>
  <si>
    <t>11579/2565</t>
  </si>
  <si>
    <t>Multi-Layer Perceptron Neural Network and Internet of Things for Improving the Realtime Aquatic Ecosystem Quality Monitoring and Analysis</t>
  </si>
  <si>
    <t>11556/2565</t>
  </si>
  <si>
    <t>สัญญาจ้างผู้เชี่ยวชาญในการศึกษาและวิเคราะห์ด้านการบริหารจัดการด้านสิ่งแวดล้อมในนิคมอุตสาหกรรมภายใต้โครงการศึกษาอันดับการบริหารจัดการนิคมอุตสาหกรรม</t>
  </si>
  <si>
    <t>มูลนิธิสถาบันวิจัยนโยบายเศรษฐกิจการคลัง</t>
  </si>
  <si>
    <t>ผู้ช่วยศาสตราจารย์ ดร.รณบรรจบ อภิรติกุล</t>
  </si>
  <si>
    <t>สัญญาเลขที่ 028/65</t>
  </si>
  <si>
    <t>การพัฒนาชุดสอนดนตรีรูปแบบออนไลน์ โรงเรียนในพื้นที่ ตำบลแพรกหนามแดง อำเภออัมพวา จังหวัดสมุทรสงคราม</t>
  </si>
  <si>
    <t xml:space="preserve">อาจารย์อวัสดากานต์ ภูมี </t>
  </si>
  <si>
    <t>10580/2565</t>
  </si>
  <si>
    <t>การพัฒนาชุดสอนดนตรีรูปแบบออนไลน์เครื่องเอกทักษะขับร้องพื้นฐาน โรงเรียนในพื้นที่ตำบลแพรกหนามแดง</t>
  </si>
  <si>
    <t>การพัฒนาชุดสอนดนตรีรูปแบบออนไลน์เครื่องเอกทักษะขับร้องพื้นฐาน  โรงเรียนในพื้นที่ตำบลแพรกหนามแดง</t>
  </si>
  <si>
    <t>10613/2565</t>
  </si>
  <si>
    <t>การพัฒนาชุดสอนดนตรีรูปแบบออนไลน์เครื่องเอกกีตาร์  โรงเรียนในพื้นที่ตำบลแพรกหนามแดง</t>
  </si>
  <si>
    <t xml:space="preserve">อาจารย์ปฐมวัส ธรรมชาติ 50%
</t>
  </si>
  <si>
    <t>10638/2565</t>
  </si>
  <si>
    <t xml:space="preserve">ผู้ช่วยศาสตราจารย์ ดร.รุ่งเกียรติ สิริวงษ์สุวรรณ 15%
</t>
  </si>
  <si>
    <t xml:space="preserve">อาจารย์กฤตวิทย์ ภูมิถาวร 15%
</t>
  </si>
  <si>
    <t xml:space="preserve">ผู้ช่วยศาสตราจารย์ยุทธกร สริกขกานนท์ 10%
</t>
  </si>
  <si>
    <t>อาจารย์ชาคริต เฉลิมสุข 10%</t>
  </si>
  <si>
    <t>การออกแบบนิทรรศการโครงการพิเศษการออกแบบนิเทศศิลป์ ครั้งที่ 30  ปีการศึกษา 2564</t>
  </si>
  <si>
    <t xml:space="preserve">อาจารย์ภาณุวัฒน์ กาหลิบ </t>
  </si>
  <si>
    <t>10461/2565</t>
  </si>
  <si>
    <t>นวัตกรรมผลิตภัณฑ์ต้นแบบส่งเสริมการท่องเที่ยวสปาสร้างสรรค์บนฐานภูมิปัญญาท้องถิ่นและวัฒนธรรมจังหวัดระนอง</t>
  </si>
  <si>
    <t xml:space="preserve">รองศาสตราจารย์ ดร.รจนา จันทราสา </t>
  </si>
  <si>
    <t>งป 11032/2565</t>
  </si>
  <si>
    <t>แนวทางการออกแบบตกแต่งร้านสปาส่งเสริมการท่องเที่ยวสปาสร้างสรรค์บนฐานภูมิปัญญาท้องถิ่นและวัฒนธรรมจังหวัดระนอง</t>
  </si>
  <si>
    <t xml:space="preserve">อาจารย์ ดร.ภานุ พัฒนปณิธิพงศ์ </t>
  </si>
  <si>
    <t>งป 11034/2565</t>
  </si>
  <si>
    <t>การพัฒนาสินค้าไลฟ์สไตล์ส่งเสริมการท้องเที่ยว Green travel จังหวัดอุดรธานี</t>
  </si>
  <si>
    <t>รองศาสตราจารย์ ดร.รจนา จันทราสา</t>
  </si>
  <si>
    <t>งป 11043/2565</t>
  </si>
  <si>
    <t>แนวทางการออกแบบสภาพแวดล้อมร้านค้าสินค้าไลฟ์สไตล เพิ่มขีดความสามารถในการแข่งขันได้สําหรับการท่องเที่ยว Green travel จังหวัดอุดรธานี</t>
  </si>
  <si>
    <t>งป 11045/2565</t>
  </si>
  <si>
    <t>การพัฒนาผลิตภัณฑ์สุขภาพจากข้าวไรซ์เบอรี่ กลุ่มเศรษฐกิจฐานราก อำเภอบางระจัน จังหวัดสิงห์บุรี</t>
  </si>
  <si>
    <t>รองศาสตราจารย์ ดร.รจนา จันทราสา 95%</t>
  </si>
  <si>
    <t>งป 11052/2565</t>
  </si>
  <si>
    <t>อาจารย์ ดร.แก่นเพชร ศรานนทวัฒน์ 5%</t>
  </si>
  <si>
    <t>การพัฒนาตราสัญลักษณ์ และบรรจุภัณฑ์ของผลิตภัณฑ์สุขภาพจากข้าวไรซ์เบอรี่</t>
  </si>
  <si>
    <t>งป 11055/2565</t>
  </si>
  <si>
    <t>ศิลปวัฒนธรรมในเกาะรัตนโกสินทร์กับการประยุกต์ใช้ในการออกแบบผลิตภัณฑ์ด้วยแนวคิดเศรษฐกิจ</t>
  </si>
  <si>
    <t xml:space="preserve">ผู้ช่วยศาสตราจารย์ ดร.ชนกนาถ มะยูโซ๊ะ </t>
  </si>
  <si>
    <t>งป 11071/2565</t>
  </si>
  <si>
    <t>ทุนทางวัฒนธรรมศิลปะกรุงรัตนโกสินทร์ในเกาะรัตนโกสินทร์สู่แนวทางการออกแบบเครื่องประดับร่วมสมัยเพื่อสร้างมูลค่าเพิ่มสู่การแข่งขันในระดับสากล</t>
  </si>
  <si>
    <t xml:space="preserve">ผู้ช่วยศาสตราจารย์ ดร.ชนกนาถ มะยูโซ๊ะ 60%
</t>
  </si>
  <si>
    <t>งป 11073/2565</t>
  </si>
  <si>
    <t xml:space="preserve">ผู้ช่วยศาสตราจารย์สิรัชชา สำลีทอง 20%
</t>
  </si>
  <si>
    <t>อาจารย์สุภาวดี จุ้ยศุขะ 20%</t>
  </si>
  <si>
    <t>แนวทางการพัฒนาผลิตภัณฑ์สร้างสรรค์จากวัสดุพื้นถิ่นและทุนทางวัฒนธรรม ด้วยการมีส่วนร่วมของชุมชน เพื่อสร้างนวัตกรรมและยกระดับรายได้ชุมชนบนฐานปรัชญาเศรษฐกิจพอเพียง “วิถีถิ่น คีรีวงกต” จังหวัด อุดรธานี</t>
  </si>
  <si>
    <t xml:space="preserve">ผู้ช่วยศาสตราจารย์ ดร.เอกพงศ์ อินเกื้อ 80%
</t>
  </si>
  <si>
    <t>งป 11074/2565</t>
  </si>
  <si>
    <t>ผู้ช่วยศาสตราจารย์ ดร.ปิยดา วงศ์วิวัฒน์ 20%</t>
  </si>
  <si>
    <t>นวัตกรรมการสร้างสรรค์ลวดลายผ้าทอจากทุนวัฒนธรรม “วิถีถิ่น คีรีวงกต” สู่ต้นแบบเครื่องแต่งกายร่วมสมัย ภายใต้ปรัชญาเศรษฐกิจพอเพียง</t>
  </si>
  <si>
    <t>ผู้ช่วยศาสตราจารย์ ดร.ชนกนาถ มะยูโซ๊ะ 40%</t>
  </si>
  <si>
    <t>งป 11075/2565</t>
  </si>
  <si>
    <t>ผู้ช่วยศาสตราจารย์ ดร.เตชิต เฉยพ่วง 30%</t>
  </si>
  <si>
    <t>อาจารย์สุภาวดี จุ้ยศุขะ 30%</t>
  </si>
  <si>
    <t>แนวทางการพัฒนาผ้าทอสีย้อมธรรมชาติจากทุนวัฒนธรรมชุมชนเพื่อยกระดับรายได้และการพึ่งพาตนเอง หมู่บ้าน คีรีวงกต จังหวัด อุดรธานี</t>
  </si>
  <si>
    <t>อาจารย์ ดร.เตือนตา พรมุตตาวรงค์ 40%</t>
  </si>
  <si>
    <t>งป 11076/2565</t>
  </si>
  <si>
    <t>ผู้ช่วยศาสตราจารย์สิรัชชา สำลีทอง 30%</t>
  </si>
  <si>
    <t>ผู้ช่วยศาสตราจารย์สุวิธธ์ สาดสังข์ 30%</t>
  </si>
  <si>
    <t>นวัตกรรมการแปรรูปพืชพื้นถิ่นสู่ผลิตภัณฑ์สร้างสรรค “วิถีถิ่น คีรีวงกต” ด้วยการมีส่วนร่วมของชุมชน เพื่อสร้างนวัตกรรมชุมชนบนฐานปรัชญาเศรษฐกิจพอเพียง</t>
  </si>
  <si>
    <t xml:space="preserve">ผู้ช่วยศาสตราจารย์ ดร.เอกพงศ์ อินเกื้อ 
</t>
  </si>
  <si>
    <t>งป 11077/2565</t>
  </si>
  <si>
    <t>การพัฒนาและสร้างภาพลักษณ์ผลิตภัณฑ์สร้างสรรค์จากวัสดุพื้นถิ่นและทุนทางวัฒนธรรมเพื่อสร้างการรับรู้และเพิ่มขีดความสามารถในการแข่งขัน “วิถีถิ่น คีรีวงกต”</t>
  </si>
  <si>
    <t xml:space="preserve">อาจารย์คณิน ไพรวันรัตน์ </t>
  </si>
  <si>
    <t>งป 11078/2565</t>
  </si>
  <si>
    <t>แนวทางการออกแบบศูนย์บริการและจําหน่ายผลิตภัณฑ์สร้างสรรค์ชุมชน บนฐานปรัชญาเศรษฐกิจพอเพียง</t>
  </si>
  <si>
    <t xml:space="preserve">ผู้ช่วยศาสตราจารย์นภดล สังวาลเพ็ชร </t>
  </si>
  <si>
    <t>งป 11079/2565</t>
  </si>
  <si>
    <t>การพัฒนาจังหวัดสมุทรสงครามด้วยนวัตกรรมการแปรรูปวัสดุเหลือทิ้งจากภาคการเกษตรและประมง เพื่อเพิ่มอัตราการขยายตัวของผลิตภัณฑ์มวลรวม(GPP) สู่การพัฒนาจังหวัดสมุทรสงครามเป็น “เมืองแห่งวิถี 3 น้ำอย่างยั่งยืน”</t>
  </si>
  <si>
    <t>งป 11080/2565</t>
  </si>
  <si>
    <t>นวัตกรรมการแปรรูปวัสดุเหลือทิ้งจากภาคการเกษตรของจังหวัดสมุทรสงคราม เพื่อใช้ในการสรางผลิตภัณฑวัฒนธรรมจังหวัดสมุทรสงคราม เพื่อลดปญหาขยะและควาเหลื่อมล้ำ</t>
  </si>
  <si>
    <t>งป 11081/2565</t>
  </si>
  <si>
    <t>การพัฒนาและสรางภาพลักษณจังหวัดสมุทรสงครามดวยธุรกิจเชิงวัฒนธรรม เพื่อสร้างการรับรูและสนับสนุนการทองเที่ยวเชิงวัฒนธรรม “เมืองแหงวิถี 3 น้าอยางยั่งยืน”</t>
  </si>
  <si>
    <t xml:space="preserve">ผู้ช่วยศาสตราจารย์ ดร.เอกพงศ์ อินเกื้อ </t>
  </si>
  <si>
    <t>งป 11082/2565</t>
  </si>
  <si>
    <t>นวัตกรรมการแปรรูปวัสดุเหลือทิ้งจากภาคการประมงของจังหวัดสมุทรสงคราม เพื่อใช้ในการสร้างผลิตภัณฑ์วัฒนธรรมจังหวัดสมุทรสงคราม เพื่อลดปัญหาขยะและควาเหลื่อมลํ้า</t>
  </si>
  <si>
    <t>อาจารย์คณิน ไพรวันรัตน์</t>
  </si>
  <si>
    <t>งป 11094/2565</t>
  </si>
  <si>
    <t>คริปโทเคอร์เรนซีและเศรษฐกิจสร้างสรรค์: กรณีศึกษา เอ๊กซ์อาร์พี และ เอ็นเอฟที</t>
  </si>
  <si>
    <t>ระดับชาติ</t>
  </si>
  <si>
    <t>บริษัท ควอลิตี้ อัลลัยแอนซ์ (ประเทศไทย) จำกัด</t>
  </si>
  <si>
    <t>อาจารย์ ดร.ฟาริดา วิรุฬหผล   25%</t>
  </si>
  <si>
    <t>QATI/11/2021</t>
  </si>
  <si>
    <t>อาจารย์ ดร.เตือนตา พรมุตตาวรงค์  25%</t>
  </si>
  <si>
    <t>อาจารย์ดวงรัตน์ ด่านไทยนำ  25%</t>
  </si>
  <si>
    <t>ผู้ช่วยศาสตราจารย์ ดร.ดวงกมล ฐิติเวส  25%</t>
  </si>
  <si>
    <t>คณะครุศาสตร์</t>
  </si>
  <si>
    <t>การสร้างรูปแบบการเรียนการสอนเชิงบูรณาการกับการทำงานในหลักสูตรดนตรีระดับปริญญาตรี</t>
  </si>
  <si>
    <t>อาจารย์ ปราโมทย์ เที่ยงตรง</t>
  </si>
  <si>
    <t>10937/2565</t>
  </si>
  <si>
    <t>การสร้างสรรค์นวัตกรรมการสื่อสารข้อมูลส่งเสริมการท่องเที่ยว จากองค์ความรู้และ ศิลปะวัฒนธรรมของวัดเทพธิดารามวรวิหาร</t>
  </si>
  <si>
    <t>อาจารย์ ภาณุวัฒน์ กาหลิบ</t>
  </si>
  <si>
    <t>11528/2565</t>
  </si>
  <si>
    <t>การสร้างสรรค์เทคโนโลยีเสมือนจริง จากการออกแบบภาพสัญลักษณ์และระบบป้าย ภายในวัด เทพธิดารามวรวิหาร</t>
  </si>
  <si>
    <t>อาจารย์ ภาณุวัฒน์ กาหลิบ  85%</t>
  </si>
  <si>
    <t>11529/2565</t>
  </si>
  <si>
    <t>ผู้ช่วยศาสตราจารย์ ดร.ชุติมา มณีวัฒนา  5%</t>
  </si>
  <si>
    <t>ผู้ช่วยศาสตราจารย์ ดร.ณฐภรณ์ รัตนชัยวงศ์  5%</t>
  </si>
  <si>
    <t>อาจารย์ ดร.ภัคคพร พิมสาร  5%</t>
  </si>
  <si>
    <t>นวัตกรรมการเรียนรู้เรื่อง องค์ความรู้วัดเทพธิดารามวรวิหาร จากการออกแบบสื่อสิ่งพิมพ์ อิเล็กทรอนิกส์</t>
  </si>
  <si>
    <t>อาจารย์ นวภรณ์ ศรีสราญกุลวงศ์ 80%</t>
  </si>
  <si>
    <t>11530/2565</t>
  </si>
  <si>
    <t>อาจารย์ กรีธา ธรรมเจริญสถิต 5%</t>
  </si>
  <si>
    <t>อาจารย์ ดร.พีระพล ชัชวาลย์ 5%</t>
  </si>
  <si>
    <t>ออาจารย์ ดร.ฟาริดา วิรุฬหผล 5%</t>
  </si>
  <si>
    <t>อาจารย์ มารุต พิเชษฐวิทย์ 5%</t>
  </si>
  <si>
    <t>การออกแบบหนังสือชุดภาพประกอบเรื่อง “ เมนูหนูทำได้ ”</t>
  </si>
  <si>
    <t>อาจารย์ นวภรณ์ ศรีสราญกุลวงศ์</t>
  </si>
  <si>
    <t>10908/2565</t>
  </si>
  <si>
    <t>โครงการจัดการอัตลักษณ์ยูนิฟอร์มพนักงานโรงแรมจากผลกระทบโควิด-19  		    (กรณีศึกษาโรงแรมLet's Sea Hua Hin Al Fresco)</t>
  </si>
  <si>
    <t>อาจารย์ สุภาวดี จุ้ยศุขะ</t>
  </si>
  <si>
    <t>10987/2565</t>
  </si>
  <si>
    <t>การออกแบบเครื่องแต่งกายสตรีด้วยแรงบันดาลใจจากชาติพันธุ์ไทลื้อ</t>
  </si>
  <si>
    <t>ผู้ช่วยศาสตราจารย์ ดร.ชนกนาถ มะยูโซ๊ะ</t>
  </si>
  <si>
    <t>10968/2565</t>
  </si>
  <si>
    <t>การพัฒนาผลิตภัณฑ์ ภาชนะจากหญ้าแฝก</t>
  </si>
  <si>
    <t>อาจารย์ ดร.ภานุ พัฒนปณิธิพงศ์ 80%</t>
  </si>
  <si>
    <t>11005/2565</t>
  </si>
  <si>
    <t>รองศาสตราจารย์ ดร.รจนา จันทราสา 20%</t>
  </si>
  <si>
    <t>ลวดลายจากงานศิลปกรรมในเกาะรัตนโกสินทร์ สู่การออกแบบสิ่งทอที่สามารถสะท้อนอัตลักษณ์และสร้างมูลค่าเพิ่มด้วยแนวคิดเศรษฐกิจสร้างสรรค์</t>
  </si>
  <si>
    <t>ผู้ช่วยศาสตราจารย์ สุวิธธ์ สาดสังข์ 40%</t>
  </si>
  <si>
    <t>งป 11072/2565</t>
  </si>
  <si>
    <t>อาจารย์ ดร.เตือนตา พรมุตตาวรงค์ 30%</t>
  </si>
  <si>
    <t>การถ่ายทอดเทคโนโลยีการแปรรูป สาหร่าย วัชพืชในนากุ้ง เป็นวัสดุสำหรับการออกแบบผลิตภัณฑ์ที่เป็นมิตรต่อสิ่งแวดล้อม ชุมชนแพรกหนามแดง อำเภออัมพวา จังหวัดสมุทรสงคราม</t>
  </si>
  <si>
    <t>อาจารย์ ดร.ภานุ พัฒนปณิธพงศ์ 60%</t>
  </si>
  <si>
    <t>สัญญาเลขที่ N71B650097</t>
  </si>
  <si>
    <t>ผู้ช่วยศาสตราจารย์นภดล สังวาลเพ็ชร 20%</t>
  </si>
  <si>
    <t>ผลิตภัณฑ์จากปูนขาวสำหรับปรับสภาพดิน</t>
  </si>
  <si>
    <t>ผศ.นภดล สังวาลเพ็ชร</t>
  </si>
  <si>
    <t>10969/2565</t>
  </si>
  <si>
    <t>กระดาษจากต้นกล้วยไม้ตัดดอก</t>
  </si>
  <si>
    <t>11002/2565</t>
  </si>
  <si>
    <t>โครงการออกแบบกระเป๋าสุภาพสตรีจากกาบมะพร้าวแรงบันดาลใจผัดกะเพรา</t>
  </si>
  <si>
    <t>อาจารย์ ดร.ณิชานันทน์ เสริมศรี</t>
  </si>
  <si>
    <t>11527/2565</t>
  </si>
  <si>
    <t>ชุดรับประทานอาหารกลางแจ้งจากเสื่อต้นกก</t>
  </si>
  <si>
    <t>รศ.ดร.รจนา จันทราสา 80%</t>
  </si>
  <si>
    <t>10967/2565</t>
  </si>
  <si>
    <t>อาจารย์ ดร.ภานุ พัฒนปณิธิพงศ์ 20%</t>
  </si>
  <si>
    <t>โครงการการจัดการเรียนการสอนแบบออนไลน์ในสถานะการณ์การแพร่ระบาดไวรัสโควิด-๑๙ ของหลักสูตรศิลปกรรมศาสตร์บัณฑิต สาขาวิชาศิลปกะการแสดง (นาฏศิลป์ไทย) คณะศิลปกรรมศษสตร์ มหาวิทยาลัยราชภัฏสวนสุนันทา</t>
  </si>
  <si>
    <t>ผศ.ดร.มณิศา วศินารมณ์ 50%</t>
  </si>
  <si>
    <t>01/2565</t>
  </si>
  <si>
    <t>ผศ.ดร.ผกามาศ จิรจารุภัทร 10%</t>
  </si>
  <si>
    <t>อาจารย์ วุฒิชัย ค้าทวี 10%</t>
  </si>
  <si>
    <t>อาจารย์ รติพัทธ์ ศิริพงษ์ 10%</t>
  </si>
  <si>
    <t>อาจารย์ มนัญชยา เพชรูจี 10%</t>
  </si>
  <si>
    <t>อาจารย์พีรณัฐ ทรงเกตุกุล  10%</t>
  </si>
  <si>
    <t>การออกแบบหนังสือครบรอบวาระ 125 ปี วัดแม่พระลูกประคำ โบสถ์กาลหว่าร์</t>
  </si>
  <si>
    <t>10467/2565</t>
  </si>
  <si>
    <t>การออกแบบบอร์ดเกมตำนานโจรสลัดผ่านระบบเทคโนโลยีเสมือนจริงของสถาบันอุทยานการเรียนรู้</t>
  </si>
  <si>
    <t>10558/2565</t>
  </si>
  <si>
    <t>THAW WORACHAN (WAD) THE FAMOUS ACTRESS  IN THE REIGN OF KING RAMA IV,  WHO CREATED PLENG CHA PLENG REOW NARAI,  THE SPECIAL HOLY AND NOBLE DANCE</t>
  </si>
  <si>
    <t>อาจารย์ มนัญชยา เพชรูจี</t>
  </si>
  <si>
    <t>11558/2565</t>
  </si>
  <si>
    <t>THE CHOREOGRAPHY OF UNAKARN: THE  FEMALE CHARACTER WHEN SHE DISGUISED AS A MAN IN THE THAI COURT DRAMA,  “UNAKARN PANJI CHOM SUAN KHWAN”</t>
  </si>
  <si>
    <t>11559/2565</t>
  </si>
  <si>
    <t>THE CREATING OF PERFORMANCE FOR  LEARNING PERFORMANCE LITERATURE FOR  STUDENTS OF THE FACULTY OF FINE AND  APPLIED ARTS SUAN SUNANDHA RAJABHAT  UNIVERSITY</t>
  </si>
  <si>
    <t>11560/2565</t>
  </si>
  <si>
    <t>การพัฒนาผลิตภัณฑ์สมุนไพรจากทรัพยากรท้องถิ่นเพื่อสร้างรายได้โดยบูรณาการศักยภาพชุมชน จังหวัดอุดรธานี(โครงการต่อเนื่อง)</t>
  </si>
  <si>
    <t xml:space="preserve">
</t>
  </si>
  <si>
    <t xml:space="preserve">อาจารย์ ดร.สิริกร อมฤตวาริน 70%
</t>
  </si>
  <si>
    <t xml:space="preserve"> บัณฑิตวิทยาลัย (กลุ่มมนุษยศาสตร์ฯ)
</t>
  </si>
  <si>
    <t>10864/2565</t>
  </si>
  <si>
    <t xml:space="preserve">ศาสตราจารย์ นพ.สรรใจ แสงวิเชียร 10%
</t>
  </si>
  <si>
    <t xml:space="preserve"> บัณฑิตวิทยาลัย (กลุ่มวิทยาศาสตร์ฯ)
</t>
  </si>
  <si>
    <t xml:space="preserve">อาจารย์ นพ.วิชัย โชควิวัฒน 10%
</t>
  </si>
  <si>
    <t xml:space="preserve">ผู้ช่วยศาสตราจารย์ ดร.พท.ป.ศุภะลักษณ์ ฟักคำ 10%
</t>
  </si>
  <si>
    <t>โครงการการพัฒนาผลิตภัณฑ์สบู่สมุนไพรดอกบัวแดง จังหวัดอุดรธานี</t>
  </si>
  <si>
    <t xml:space="preserve">อาจารย์ ดร.สิริกร อมฤตวาริน  70%
</t>
  </si>
  <si>
    <t>10930/2565</t>
  </si>
  <si>
    <t xml:space="preserve"> บัณฑิตวิทยาลัย (กลุ่มวิทยาศาสตร์ฯ)</t>
  </si>
  <si>
    <t xml:space="preserve">ผู้ช่วยศาสตราจารย์ ดร.พท.ป.ศุภะลักษณ์ ฟักคำ  10%
</t>
  </si>
  <si>
    <t>โครงการการพัฒนาผลิตภัณฑ์เทียนหอมสมุนไพรจากทรัพยากรท้องถิ่นเพื่อเสริมรายได้ชุมชน จังหวัดอุดรธานี</t>
  </si>
  <si>
    <t xml:space="preserve">ศาสตราจารย์ นพ.สรรใจ แสงวิเชียร 50%
</t>
  </si>
  <si>
    <t>10919/2565</t>
  </si>
  <si>
    <t xml:space="preserve">ผู้ช่วยศาสตราจารย์ ดร.พท.ป.ศุภะลักษณ์ ฟักคำ  20%
</t>
  </si>
  <si>
    <t>การส่งเสริมผลิตภัณฑ์และสินค้าชุมชนเพื่อการตลาดออนไลน์ในวิถี New normal ในจังหวัดอุดรธานี</t>
  </si>
  <si>
    <t>พ.ต.อ.นพดล บุรณนัฏ 50%</t>
  </si>
  <si>
    <t>10917/2565</t>
  </si>
  <si>
    <t>อาจารย์ ดร.สุมาลี มีพงษ์ 10%</t>
  </si>
  <si>
    <t>อาจารย์ ดร.พลอมร ธรรมประทีป 10%</t>
  </si>
  <si>
    <t>อาจารย์ ดร. ปัญญารัตน์ ปานทอง 10%</t>
  </si>
  <si>
    <t>อาจารย์ ดร.ชยภรณ์ ธนาบริบูรณ์ 10%</t>
  </si>
  <si>
    <t>ผู้ช่วยศาสตราจารย์ วินัย หมั่นคติธรรม 10%</t>
  </si>
  <si>
    <t>การพัฒนาผลิตภัณฑ์จากวัตถุดิบในท้องถิ่นของจังหวัดอุดรธานี</t>
  </si>
  <si>
    <t>10928/2565</t>
  </si>
  <si>
    <t>ผู้ช่วยศาสตราจารย์ ดร.สุคนธ์ เครือน้ำคำ 10%</t>
  </si>
  <si>
    <t>บัณฑิตวิทยาลัย (กลุ่มมนุษยศาสตร์ฯ)</t>
  </si>
  <si>
    <t>อาจารย์ ดร.สาโรจน์ วสุวานิช 10%</t>
  </si>
  <si>
    <t>อาจารย์ ดร. อวัสดา ปกมนตรี 10%</t>
  </si>
  <si>
    <t>อาจารย์ ดร.เกรียงศักดิ์ แสงสว่าง 10%</t>
  </si>
  <si>
    <t>อาจารย์ ดร.สุมาลี ศรีสุภรวาณิชย์ย์ 10%</t>
  </si>
  <si>
    <t>กระบวนการส่งเสริมและพัฒนาผลิตภาพแรงงานสูงอายุนอกระบบในเขตเทศบาลตำบลสามโคก อำเภอสามโคก จังหวัดปทุมธานี ในสถานการณ์การแพร่ระบาดของโรคโควิด 19</t>
  </si>
  <si>
    <t>ผู้ช่วยศาสตราจารย์ ดร.สุดาวรรณ สมใจ</t>
  </si>
  <si>
    <t>10998/2565</t>
  </si>
  <si>
    <t xml:space="preserve">โครงการประชาสัมพันธ์สนับสนุนการเสริมสร้างความเข้าใจเพื่อความมั่นคงในการแก้ไขปัญหา จังหวัดชายแดนใต้ </t>
  </si>
  <si>
    <t>กองอำนวยการรักษาความมั่นคงภายในราชอาณาจักร</t>
  </si>
  <si>
    <t>อาจารย์ ดร.เมธา หริมเทพาธิป</t>
  </si>
  <si>
    <t>สัญญาจ้างเลขที่ 6/2565</t>
  </si>
  <si>
    <t>การพัฒนาผลิตภัณฑ์นิสตเซรั่มวิบวับด้วยเกลือหิมาลายัน</t>
  </si>
  <si>
    <t>บริษัท โว้ค อัพ ทาวน์ จำกัด</t>
  </si>
  <si>
    <t>ผู้ช่วยศาสตราจารย์ ดร.ณัฐณภรณ์ เอกนราจินดาวัฒน์ 50%</t>
  </si>
  <si>
    <t>สัญญาเลขที่ 1/2565</t>
  </si>
  <si>
    <t>อาจารย์ ดร.ดำเกิง อัศวสุนทรางกุล  25%</t>
  </si>
  <si>
    <t>ศูนย์การศึกษาจังหวัดอุดรธานี (วิทยาลัยการเมืองฯ)</t>
  </si>
  <si>
    <t>อาจารย์ ดร.ณัฏฐชัย เอกนราจินดาวัฒน์  25%</t>
  </si>
  <si>
    <t>การพัฒนาผลิตภัณฑ์เจลลี่มะขามป้อมด้วยนวัตกรรม Syrinx (ไซนิกซ์)</t>
  </si>
  <si>
    <t>บริษัท เอสซีจี แกรนด์ จำกัด</t>
  </si>
  <si>
    <t>ผู้ช่วยศาสตราจารย์ ดร.ณัฐณภรณ์ เอกนราจินดาวัฒน์  65%</t>
  </si>
  <si>
    <t>อาจารย์ ดร.ณัฏฐชัย เอกนราจินดาวัฒน์  15%</t>
  </si>
  <si>
    <t>อาจารย์ศุภกานต์ โสภาพร  10%</t>
  </si>
  <si>
    <t>อาจารย์ธีรารัตน์ อำนาจเจริญ  10%</t>
  </si>
  <si>
    <t>ศูนย์การศึกษาจังหวัดอุดรธานี (วิทยาลัยการจัดการอุตสาหกรรมฯ)</t>
  </si>
  <si>
    <t>รูปแบบการพัฒนาคุณภาพชีวิตในการทำงานของแรงงานสูงวัยนอกระบบในเขตเทศบาลเมืองคลองหลวง อำเภอคลองหลวง จังหวัดปทุมธานี ในสถานการณ์การแพร่ระบาดของโรคโควิด 19</t>
  </si>
  <si>
    <t>อาจารย์ ดร.สโรชินี ศิริวัฒนา</t>
  </si>
  <si>
    <t xml:space="preserve"> บัณฑิตวิทยาลัย</t>
  </si>
  <si>
    <t>10997/2565</t>
  </si>
  <si>
    <t>การพัฒนาผลิตภัณฑ์กาแฟสำเร็จรูปผสมมะขามแดง</t>
  </si>
  <si>
    <t>ผศ.ดร.ณัฐณภรณ์ เอกนราจินดาวัฒน์ 70%</t>
  </si>
  <si>
    <t>11004/2565</t>
  </si>
  <si>
    <t>อาจารย์ ดร.ณัฏฐชัย เอกนราจินดาวัฒน์ 30%</t>
  </si>
  <si>
    <t>ศูนย์การศึกษาจังหวัดอุดรธานี</t>
  </si>
  <si>
    <t>การพัฒนาสารเดนโดรเบี้ยมจากกล้วยไม้สกุลหวายด้วยนวัตกรรมไซนิกซ์ในเครื่องสำอางค์</t>
  </si>
  <si>
    <t>ผู้ช่วยศาสตราจารย์ ดร.ณัฐณภรณ์ เอกนราจินดาวัฒน์  60%</t>
  </si>
  <si>
    <t>มรภสส003-2565</t>
  </si>
  <si>
    <t>อาจารย์ ดร.ดำเกิง อัศวสุนทรางกุล  10%</t>
  </si>
  <si>
    <t>อาจารย์ ดร.ณัฏฐชัย เอกนราจินดาวัฒน์  30%</t>
  </si>
  <si>
    <t>การพัฒนาพื้นที่ท่องเที่ยวเชิงประวัติศาสตร์และวัฒนธรรมเพื่อการแข่งขันเชิงธุรกิจของจังหวัดอุดรธานี</t>
  </si>
  <si>
    <t xml:space="preserve">อาจารย์ ดร.ชญานันท์ เกิดพิทักษ์ 45%
</t>
  </si>
  <si>
    <t xml:space="preserve"> วิทยาลัยนวัตกรรมและการจัดการ
</t>
  </si>
  <si>
    <t>งป 11128/2565</t>
  </si>
  <si>
    <t xml:space="preserve">รองศาสตราจารย์ ดร. ชุติกาญจน์ ศรีวิบูลย์ 20%
</t>
  </si>
  <si>
    <t xml:space="preserve">รองศาสตราจารย์ ดร. บัณฑิต ผังนิรันดร์ 15%
</t>
  </si>
  <si>
    <t xml:space="preserve">อาจารย์นภัสสร เกิดพิทักษ์ 10%
</t>
  </si>
  <si>
    <t>การพัฒนาการตลาดเชิงรุกเพื่อการแข่งขันเชิงธุรกิจของการท่องเที่ยวเชิง ประวัติศาสตร์และวัฒนธรรมของจังหวัดอุดรธานี</t>
  </si>
  <si>
    <t xml:space="preserve">
</t>
  </si>
  <si>
    <t xml:space="preserve">อาจารย์ ดร.ชญานันท์ เกิดพิทักษ์  50%
</t>
  </si>
  <si>
    <t>งป 11170/2565</t>
  </si>
  <si>
    <t>อาจารย์นภัสสร เกิดพิทักษ์ 15%</t>
  </si>
  <si>
    <t>อาจารย์ธีรพงศ์ พงษ์เพ็ง 15%</t>
  </si>
  <si>
    <t>อาจารย์ ดร.วิไลลักษณ์ รักบำรุง 5%</t>
  </si>
  <si>
    <t>อาจารย์ ดร.นธายุ วันทยะกุล 5%</t>
  </si>
  <si>
    <t>ผู้ช่วยศาสตราจารย์วีระ โชติธรรมาภรณ์ 5%</t>
  </si>
  <si>
    <t>อาจารย์สกุล จริยาแจ่มสิทธิ์ 5%</t>
  </si>
  <si>
    <t>ศักยภาพการจัดการการท่องเที่ยวเชิงนิเวศและเชิงสุขภาพของวิสาหกิจชุมชนในจังหวัดระนอง</t>
  </si>
  <si>
    <t xml:space="preserve">อาจารย์ ดร.ศิริญญา ศิริญานันท์ 80%
</t>
  </si>
  <si>
    <t>10647/2565</t>
  </si>
  <si>
    <t>ผู้ช่วยศาสตราจารย์ พิเศษ พันเอก ดร.วัลลภ พิริยวรรธนะ 5%</t>
  </si>
  <si>
    <t>วิทยาลัยการเมืองและการปกครอง</t>
  </si>
  <si>
    <t>อาจารย์ธวัช พุ่มดารา 5%</t>
  </si>
  <si>
    <t>อาจารย์บริบูรณ์ ฉลอง 5%</t>
  </si>
  <si>
    <t>ผู้ช่วยศาสตราจารย์ ดร.จักรวาล สุขไมตรี 5%</t>
  </si>
  <si>
    <t>การวิเคราะห์สภาวะการณ์ของผู้ประกอบการวิสาหกิจชุมชนเพื่อส่งเสริมการขายผลิตภัณฑ์วิสาหกิจชุมชนรายย่อยในจังหวัดสมุทรสงคราม</t>
  </si>
  <si>
    <t xml:space="preserve">อาจารย์ปัณณิกา โพธิเวชเทวัญ 5%
</t>
  </si>
  <si>
    <t>10753/2565</t>
  </si>
  <si>
    <t>ผู้ช่วยศาสตราจารย์อาภาภรณ์ โพธิ์กระจ่าง 25%</t>
  </si>
  <si>
    <t>ผู้ช่วยศาสตราจารย์อภิญญา วิเศษสิงห์ 70%</t>
  </si>
  <si>
    <t>นวัตกรรมการส่งเสริมการขายสำหรับวิสาหกิจชุมชนรายย่อยในจังหวัดสมุทรสงคราม</t>
  </si>
  <si>
    <t xml:space="preserve">อาจารย์ ดร.ธงไชย สุรินทร์วรางกูร 60%
</t>
  </si>
  <si>
    <t>10554/2565</t>
  </si>
  <si>
    <t>อาจารย์ ดร.สุธา พงศ์ถาวรภิญโญ 5%</t>
  </si>
  <si>
    <t>ผู้ช่วยศาสตราจารย์วรางคณา จิตราภัณฑ์ 5%</t>
  </si>
  <si>
    <t>ผู้ช่วยศาสตราจารย์อภิญญา วิเศษสิงห์ 5%</t>
  </si>
  <si>
    <t>ผู้ช่วยศาสตราจารย์ ดร.สมภูมิ แสวงกุล 5%</t>
  </si>
  <si>
    <t>อาจารย ดร.ลดาพร พิทักษ์ 5%</t>
  </si>
  <si>
    <t>ผู้ช่วยศาสตราจารย์ชิโนรส ถิ่นวิไลสกุล 5%</t>
  </si>
  <si>
    <t xml:space="preserve"> วิทยาลัยนิเทศศาสตร์</t>
  </si>
  <si>
    <t>ผู้ช่วยศาสตราจารย์พยนต์ธร สำเร็จกิจเจริญ 5%</t>
  </si>
  <si>
    <t>แนวทางการปลูกฝังเยาวชนให้มีพฤติกรรมที่ยึดมั่นในความซื่อสัตย์สุจริต ในพื้นที่จังหวัดระนอง</t>
  </si>
  <si>
    <t xml:space="preserve">อาจารย์ ดร.กัญญ์รัชการย์ เลิศอมรศักดิ์ 20%
</t>
  </si>
  <si>
    <t>10577/2565</t>
  </si>
  <si>
    <t>ผู้ช่วยศาสตราจารย์ ดร.วิจิตรา ศรีสอน 10%</t>
  </si>
  <si>
    <t>อาจารย์สัณหณัฐ จักรภัทรวงศ์ 50%</t>
  </si>
  <si>
    <t>ผู้ช่วยศาสตราจารย์ พิเศษ พล.ต.ท.ดร.สัณฐาน ชยนนท์ 20%</t>
  </si>
  <si>
    <t>การออกแบบและพัฒนาบรรจุภัณฑ์เพื่อสอดคล้องกับอัตลักษณ์ของชุมชน</t>
  </si>
  <si>
    <t xml:space="preserve">ผู้ช่วยศาสตราจารย์หทัยพันธน์ สุนทรพิพิธ 80%
</t>
  </si>
  <si>
    <t>10858/2565</t>
  </si>
  <si>
    <t>อาจารย์บริบูรณ์ ฉลอง 20%</t>
  </si>
  <si>
    <t>การพัฒนาแอปพลิเคชันเพื่อส่งเสริมการท่องเที่ยวหัวหิน</t>
  </si>
  <si>
    <t xml:space="preserve">อาจารย์กษิติธร อัศวพงศ์วาณิช </t>
  </si>
  <si>
    <t>10734/2565</t>
  </si>
  <si>
    <t>นวัตกรรมผลิตภัณฑ์ต้นแบบกับกระบวนการท่องเที่ยวสปาสร้างสรรค์บนฐานภูมิปัญญาท้องถิ่นและวัฒนธรรมจังหวัดระนอง</t>
  </si>
  <si>
    <t>รองศาสตราจารย์ ดร. ชุติกาญจน์ ศรีวิบูลย์</t>
  </si>
  <si>
    <t>งป 11026/2565</t>
  </si>
  <si>
    <t>นวัตกรรมการตลาดดิจิทัลสำหรับผลิตภัณฑ์ต้นแบบเชื่อมโยงการท่องเที่ยวสปาสร้างสรรค์บนฐาน ภูมิปัญญาท้องถิ่นและวัฒนธรรมจังหวัดระนอง</t>
  </si>
  <si>
    <t>อาจารย์อทิตยา บัวศรี</t>
  </si>
  <si>
    <t>งป 11036/2565</t>
  </si>
  <si>
    <t>การยกระดับการท่องเที่ยว Green Travel จังหวัดอุดรธานี เพื่อสร้างความพร้อมด้านมาตรฐานสินค้าและบริการสู่การเพิ่มขีดความสามารถในการแข่งขันได้อย่างยั่งยืน</t>
  </si>
  <si>
    <t>งป 11037/2565</t>
  </si>
  <si>
    <t>การตลาดเชิงกลยุทธ์ของการท้องเที่ยวสีเขียว (Green Tourism) จังหวัดอุดรธานี เพื่อสร้างความพร้อมสู่การเพิ่มขีดความสามารถในการแข่งขัน</t>
  </si>
  <si>
    <t xml:space="preserve">รองศาสตราจารย์ ดร. ชุติกาญจน์ ศรีวิบูลย์ 80%
</t>
  </si>
  <si>
    <t>งป 11047/2565</t>
  </si>
  <si>
    <t>อาจารย์อทิตยา บัวศรี 20%</t>
  </si>
  <si>
    <t>นวัตกรรมการตลาดดิจิทัลและการวางแผนการฝึกซ้อมตามหลักการยศาสตร สู่การพัฒนาศักยภาพด้านร่างกายนักกีฬาอีสปอร์ต</t>
  </si>
  <si>
    <t xml:space="preserve">อาจารย์อทิตยา บัวศรี 90%
</t>
  </si>
  <si>
    <t>งป 11050/2565</t>
  </si>
  <si>
    <t>อาจารย์พาโชค เลิศอัศวภัทร 5%</t>
  </si>
  <si>
    <t>อาจารย์นฤมล ชมโฉม 5%</t>
  </si>
  <si>
    <t>การพัฒนาสมรรถนะเยาวชนด้วยการฝึกอบรม สู่อาชีพใหม่และนักกีฬาอีสปอร์ตมืออาชีพ</t>
  </si>
  <si>
    <t xml:space="preserve">รองศาสตราจารย์ ดร. ชุติกาญจน์ ศรีวิบูลย์ 85%
</t>
  </si>
  <si>
    <t>งป 11051/2565</t>
  </si>
  <si>
    <t>อาจารย์นภัสกร ทรัพย์เฟื่องฟู 5%</t>
  </si>
  <si>
    <t>ผู้ช่วยศาสตราจารย์ ดร.บัณฑิต ผังนิรันดร์ 5%</t>
  </si>
  <si>
    <t>ผู้ช่วยศาสตราจารย์ ดร.ณัฐพงษ์ เตชะรัตนเสฏฐ์ 5%</t>
  </si>
  <si>
    <t>การพัฒนานวัตกรรมเชิงพื้นที่เพื่อยกระดับเศรษฐกิจฐานรากของชุมชนในจังหวัดสมุทรสงคราม</t>
  </si>
  <si>
    <t xml:space="preserve">ผู้ช่วยศาสตราจารย์ ดร.ชลภัสสรณ์ สิทธิวรงค์ชัย 60%
</t>
  </si>
  <si>
    <t>งป 11107/2565</t>
  </si>
  <si>
    <t>ผู้ช่วยศาสตราจารย์ ดร.ปรเมษฐ์ แสงอ่อน 10%</t>
  </si>
  <si>
    <t>อาจารย์สุวิตา พฤกษอาภรณ์ 10%</t>
  </si>
  <si>
    <t>อาจารย์ ดร.ดวงพร แสงทอง 10%</t>
  </si>
  <si>
    <t>การพัฒนากลยุทธ์การตลาดการท่องเที่ยว เพื่อเพิ่มประสิทธิภาพการท่องเที่ยวชุมชน สู่การยกระดับเศรษฐกิจฐานรากของจังหวัดสมุทรสงคราม</t>
  </si>
  <si>
    <t xml:space="preserve">ผู้ช่วยศาสตราจารย์ ดร.ชุมพล รอดแจ่ม 60%
</t>
  </si>
  <si>
    <t>งป 11109/2565</t>
  </si>
  <si>
    <t>รองศาสตราจารย์ ดร. ชุติกาญจน์ ศรีวิบูลย์ 10%</t>
  </si>
  <si>
    <t>อาจารย์ปัญญดา จันทกิจ 10%</t>
  </si>
  <si>
    <t>อาจารย์วรีญา คลังแสง 10%</t>
  </si>
  <si>
    <t>การยกระดับคุณภาพผลิตภัณฑ์ เพื่อสร้างมูลค่าเพิ่มของผลิตภัณฑ์ภูมิปัญญาท้องถิ่นในจังหวัดสมุทรสงคราม สู่เศรษฐกิจดิจิทัล</t>
  </si>
  <si>
    <t xml:space="preserve">อาจารย์ ดร.พนิดา นิลอรุณ 50%
</t>
  </si>
  <si>
    <t>งป 11110/2565</t>
  </si>
  <si>
    <t>ผู้ช่วยศาสตราจารย์ ดร.ชลภัสสรณ์ สิทธิวรงค์ชัย 20%</t>
  </si>
  <si>
    <t>อาจารย์ภาณุพงศ์ จันทน์ผลิน 10%</t>
  </si>
  <si>
    <t>อาจารย์รติรัตน์ ณ สงขลา 10%</t>
  </si>
  <si>
    <t>นวัตกรรมการพัฒนาเชิงพื้นที่เพื่อยกระดับเศรษฐกิจฐานรากของชุมชน สู่การสร้างมูลค่าเพิ่มของผลิตภัณฑ์ด้วยทุนทางวัฒนธรรมเพื่อเสริมสร้างการท่องเที่ยวชุมชนในจังหวัดสมุทรสงคราม</t>
  </si>
  <si>
    <t xml:space="preserve">ผู้ช่วยศาสตราจารย์ ดร.ชลภัสสรณ์ สิทธิวรงค์ชัย  70%
</t>
  </si>
  <si>
    <t>งป 11112/2565</t>
  </si>
  <si>
    <t>ผู้ช่วยศาสตราจารย์ ดร.ชุมพล รอดแจ่ม 10%</t>
  </si>
  <si>
    <t>อาจารย์ ดร.พนิดา นิลอรุณ 10%</t>
  </si>
  <si>
    <t>รูปแบบการจัดการเทคโนโลยีเพื่อกำหนดความสามารถทางการรองรับนักท่องเที่ยว ของจังหวัดสมุทรสงคราม</t>
  </si>
  <si>
    <t xml:space="preserve">ผู้ช่วยศาสตราจารย์เอกณรงค์ วรสีหะ 75%
</t>
  </si>
  <si>
    <t>งป 11113/2565</t>
  </si>
  <si>
    <t>อาจารย์จิราภรณ์ บุญยิ่ง 5%</t>
  </si>
  <si>
    <t>อาจารย์เย็นจิต คงปาน 5%</t>
  </si>
  <si>
    <t>ผู้ช่วยศาสตราจารย์ ดร.พลัง วงษ์ธนสุภรณ์ 5%</t>
  </si>
  <si>
    <t>อาจารย์วรีญา คลังแสง 5%</t>
  </si>
  <si>
    <t>รูปแบบการพัฒนาผลิตภัณฑ์ท้องถิ่นโดยการผสมผสานทุนทางวัฒนธรรมเพื่อเพิ่มศักยภาพเศรษฐกิจชุมชน ของจังหวัดสมุทรสงคราม</t>
  </si>
  <si>
    <t xml:space="preserve">อาจารย์ ดร.พนิดา นิลอรุณ 60%
</t>
  </si>
  <si>
    <t>งป 11115/2565</t>
  </si>
  <si>
    <t>อาจารย์ ดร.ภูดิศ​ นอขุนทด 25%</t>
  </si>
  <si>
    <t>อาจารย์จิราภรณ์ บุญยิ่ง 10%</t>
  </si>
  <si>
    <t>การพัฒนาแหล่งท่องเที่ยวใหม่เพื่อส่งเสริมการท่องเที่ยววิถีวัฒนธรรมเพื่อยกระดับเศรษฐกิจท้องถิ่น ของจังหวัดสมุทรสงคราม</t>
  </si>
  <si>
    <t xml:space="preserve">อาจารย์จิราภรณ์ บุญยิ่ง 70%
</t>
  </si>
  <si>
    <t>งป 11116/2565</t>
  </si>
  <si>
    <t>ผู้ช่วยศาสตราจารย์เอกณรงค์ วรสีหะ  5%</t>
  </si>
  <si>
    <t>ผู้ช่วยศาสตราจารย์ ดร.ชุมพล รอดแจ่ม  5%</t>
  </si>
  <si>
    <t>การพัฒนาแหล่งท่องเที่ยวใหม่ด้วยทุนทางวัฒนธรรม ของจังหวัดสมุทรสงคราม</t>
  </si>
  <si>
    <t xml:space="preserve">อาจารย์ ดร.จิราภรณ์ บุญยิ่ง 70%
</t>
  </si>
  <si>
    <t>งป 11118/2565</t>
  </si>
  <si>
    <t>รองศาสตราจารย์ ดร.บัณฑิต ผังนิรันดร์ 5%</t>
  </si>
  <si>
    <t>ผู้ช่วยศาสตราจารย์เอกณรงค์ วรสีหะ 5%</t>
  </si>
  <si>
    <t>ผู้ช่วยศาสตราจารย์ ดร.ปรเมษฐ์ แสงอ่อน 5%</t>
  </si>
  <si>
    <t>เครือข่ายการเรียนรู้สู่การส่งเสริมและพัฒนาวิสาหกิจชุมชนท่องเที่ยวเชิงเกษตรและเครือข่ายแม่บ้านเกษตรกรให้มีขีดความสามารถในการเชื่อมโยงเครือข่ายเส้นทางแหล่งท่องเที่ยวเชิงเกษตรตามศาสตร์พระราชา จังหวัดสมุทรสงคราม</t>
  </si>
  <si>
    <t xml:space="preserve">อาจารย์ปัญญดา จันทกิจ 50%
</t>
  </si>
  <si>
    <t>งป 11120/2565</t>
  </si>
  <si>
    <t>ผู้ช่วยศาสตราจารย์ ดร.ชุมพล รอดแจ่ม 40%</t>
  </si>
  <si>
    <t>อาจารย์ ดร.จิราภรณ์ บุญยิ่ง  10%</t>
  </si>
  <si>
    <t>การพัฒนาวิสาหกิจชุมชนท่องเที่ยวเชิงเกษตรและเครือข่ายแม่บ้านเกษตรกรให้มีขีดความสามารถในการพัฒนาทรัพยากรมนุษย์เพื่อยกระดับเศรษฐกิจชุมชนตามศาสตร์พระราชา จังหวัดสมุทรสงคราม</t>
  </si>
  <si>
    <t>ผู้ช่วยศาสตราจารย์ ดร. ชุมพล รอดแจ่ม 80%</t>
  </si>
  <si>
    <t>งป 11122/2565</t>
  </si>
  <si>
    <t>ผู้ช่วยศาสตราจารย์ ดร. จักรวาล สุขไมตรี 10%</t>
  </si>
  <si>
    <t>การส่งเสริมและพัฒนาขีดความสามารถในการผลิตสินค้าและบริการทางการเกษตรของวิสาหกิจชุมชนและเครือข่ายแม่บ้านเกษตรกรตามศาสตร์พระราชา จังหวัดสมุทรสงคราม</t>
  </si>
  <si>
    <t xml:space="preserve">ผู้ช่วยศาสตราจารย์ ดร.ชลภัสสรณ์ สิทธิวรงค์ชัย 50%
</t>
  </si>
  <si>
    <t>งป 11123/2565</t>
  </si>
  <si>
    <t>ผู้ช่วยศาสตราจารย์ ดร.ชุมพล รอดแจ่ม 30%</t>
  </si>
  <si>
    <t>ผู้ช่วยศาสตราจารย์ ดร.จักรวาล สุขไมตรี 10%</t>
  </si>
  <si>
    <t xml:space="preserve"> วิทยาลัยการเมืองและการปกครอง
</t>
  </si>
  <si>
    <t>นวัตกรรมเครือข่ายการเรียนรู้สู่การส่งเสริมและพัฒนาวิสาหกิจชุมชนท่องเที่ยวเชิงเกษตรและเครือข่ายแม่บ้านเกษตรกรให้มีขีดความสามารถตามศาสตร์พระราชาของจังหวัดสมุทรสงคราม</t>
  </si>
  <si>
    <t>ผู้ช่วยศาสตราจารย์ ดร.ชุมพล รอดแจ่ม</t>
  </si>
  <si>
    <t>งป 11124/2565</t>
  </si>
  <si>
    <t>การสร้างแบรนด์ชุมชนและแบรนด์ผลิตภัณฑ์ชุมชนเพื่อการแข่งขันเชิงธุรกิจของการท่องเที่ยวเชิงประวัติศาสตร์และวัฒนธรรมของจังหวัดอุดรธานี</t>
  </si>
  <si>
    <t xml:space="preserve">รองศาสตราจารย์ ดร. ชุติกาญจน์ ศรีวิบูลย์ 50%
</t>
  </si>
  <si>
    <t xml:space="preserve"> วิทยาลัยนวัตกรรมและการจัดการ
 </t>
  </si>
  <si>
    <t>งป 11126/2565</t>
  </si>
  <si>
    <t>ผู้ช่วยศาสตราจารย์ ดร. สุพัตรา ปราณี 10%</t>
  </si>
  <si>
    <t>อาจารย์ นภัสสร เกิดพิทักษ์ 10%</t>
  </si>
  <si>
    <t>อาจารย์ ธีรพงศ์ พงษ์เพ็ง 10%</t>
  </si>
  <si>
    <t>อาจารย์ นฤมล ชมโฉม 10%</t>
  </si>
  <si>
    <t>การพัฒนาขีดความสามารถของผู้ประกอบการวิสาหกิจชุมชนด้วยทุนวัฒนธรรมหลังวิถีใหม่ของจังหวัดสมุทรสงคราม</t>
  </si>
  <si>
    <t xml:space="preserve">อาจารย์ ดร.พนิดา นิลอรุณ  70%
</t>
  </si>
  <si>
    <t xml:space="preserve"> วิทยาลัยนวัตกรรมและการจัดการ
</t>
  </si>
  <si>
    <t>งป 11155/2565</t>
  </si>
  <si>
    <t>อาจารย์ วีระพล วิชญานุภาพ 5%</t>
  </si>
  <si>
    <t>อาจารย์ รติรัตน์ ณ สงขลา 5%</t>
  </si>
  <si>
    <t>อาจารย์ สุวิตา พฤกษอาภรณ์ 5%</t>
  </si>
  <si>
    <t>อาจารย์ วรีญา คลังแสง 5%</t>
  </si>
  <si>
    <t>ผู้ช่วยศาสตราจารย์ ดร.ชุมพล รอดแจ่ม 5%</t>
  </si>
  <si>
    <t>การพัฒนาผลิตภัณฑ์และบรรจุภัณฑ์เพื่อเพิ่มขีดความสามารถของผู้ประกอบการวิสาหกิจชุมชนด้วยทุนวัฒนธรรมหลังวิถีใหม่ของจังหวัดสมุทรสงคราม</t>
  </si>
  <si>
    <t xml:space="preserve"> วิทยาลัยนวัตกรรมและการจัดการ
 </t>
  </si>
  <si>
    <t>งป 11156/2565</t>
  </si>
  <si>
    <t>อาจารย์ จิรวัฒน์ สุดสวาท 5%</t>
  </si>
  <si>
    <t>วิทยาลัยสหเวชศาสตร์</t>
  </si>
  <si>
    <t>อาจารย์ ดร.จิราภรณ์ บุญยิ่ง 5%</t>
  </si>
  <si>
    <t>การพัฒนากลยุทธ์การตลาดเชิงรุกและการประชาสัมพันธ์เพื่อเพิ่มขีดความสามารถของผู้ประกอบการวิสาหกิจชุมชนด้วยทุนวัฒนธรรมหลังวิถีใหม่ของจังหวัดสมุทรสงคราม</t>
  </si>
  <si>
    <t xml:space="preserve">อาจารย์ วรีญา คลังแสง 65%
</t>
  </si>
  <si>
    <t>งป 11157/2565</t>
  </si>
  <si>
    <t>การพัฒนาผลิตภัณฑ์ชุมชนเพื่อส่งเสริมท่องเที่ยวเชิงสุขภาพ ในจังหวัดระนอง</t>
  </si>
  <si>
    <t xml:space="preserve">รองศาสตราจารย์ ดร.กัญญามน กาญจนาทวีกูล 60%
</t>
  </si>
  <si>
    <t>งป 11158/2565</t>
  </si>
  <si>
    <t>อาจารย์ ดร.วรรณพร พุทธภูมิพิทักษ์ 20%</t>
  </si>
  <si>
    <t>อาจารย์ ดร.เปรมกมล จันทร์กวีกูล 10%</t>
  </si>
  <si>
    <t>อาจารข์ ดร.ศิริญญา ศิริญานันท์ 10%</t>
  </si>
  <si>
    <t>การพัฒนาผลิตภัณฑ์ชุมชนที่โดดเด่นเพื่อส่งเสริมการค้าระหว่างประเทศของ ผู้ประกอบการวิสาหกิจชุมชนด้วยทุนวัฒนธรรมหลังวิถีใหม่ของจังหวัดสมุทรสงคราม</t>
  </si>
  <si>
    <t xml:space="preserve">อาจารย์ รติรัตน์ ณ สงขลา 80%
</t>
  </si>
  <si>
    <t>งป 11160/2565</t>
  </si>
  <si>
    <t>อาจารย์ สุวิตา พฤกษอาภรณ์5%</t>
  </si>
  <si>
    <t>การพัฒนาคุณภาพและขอรับรองมาตรฐานของผลิตภัณฑ์สินค้าประมงพื้นบ้านในจังหวัดระนอง</t>
  </si>
  <si>
    <t xml:space="preserve">ผู้ช่วยศาสตราจารย์ ดร.ปรเมษฐ์ แสงอ่อน  50%
</t>
  </si>
  <si>
    <t>งป 11162/2565</t>
  </si>
  <si>
    <t>ผู้ช่วยศาสตราจารย์ ดร.สุพัตรา ปราณี 50%</t>
  </si>
  <si>
    <t>การยกระดับเศรษฐกิจชุมชนเพื่อส่งเสริมการท่องเที่ยวเชิงสุขภาพ จังหวัดระนอง</t>
  </si>
  <si>
    <t xml:space="preserve">ผู้ช่วยศาสตราจารย์ ดร.ปรเมษฐ์ แสงอ่อน 55%
</t>
  </si>
  <si>
    <t>งป 11164/2565</t>
  </si>
  <si>
    <t>รองศาสตราจารย์ ดร.กัญญามน กาญจนาทวีกูล 15%</t>
  </si>
  <si>
    <t>อาจารย์ ดร.วรรณพร พุทธภูมิพิทักษ์ 15%</t>
  </si>
  <si>
    <t>อาจารย์ ดร.เปรมกมล จันทร์กวีกูล 5%</t>
  </si>
  <si>
    <t>อาจารย์ ดร.ศิริญญา ศิริญานันท์ 5%</t>
  </si>
  <si>
    <t>การพัฒนาผลิตภัณฑ์และบรรจุภัณฑ์สินค้าประมงพื้นบ้านเพื่อเพิ่มมูลค่าผลิตภัณฑ์ในจังหวัดระนอง</t>
  </si>
  <si>
    <t xml:space="preserve">อาจารย์ ณธกร คุ้มเพชร 65%
</t>
  </si>
  <si>
    <t>งป 11166/2565</t>
  </si>
  <si>
    <t>รองศาสตราจารย์ ดร. บัณฑิต ผังนิรันดร์ 5%</t>
  </si>
  <si>
    <t>ผู้ช่วยศาสตราจารย์ ดร.ธนพล ก่อฐานะ 5%</t>
  </si>
  <si>
    <t>อาจารย์ ณิชชา คุ้มเพชรรัฐ 5%</t>
  </si>
  <si>
    <t>วิทยาลัยการจัดการอุตสาหกรรมบริการ</t>
  </si>
  <si>
    <t>ผู้ช่วยศาสตราจารย์ ทวีป พรหมอยู่ 5%</t>
  </si>
  <si>
    <t>อาจารย์วัชรินทร์ แสงมา 5%</t>
  </si>
  <si>
    <t>อาจารย์ จงดี พฤกษารักษ์ 5%</t>
  </si>
  <si>
    <t>การยกระดับผลิตภัณฑ์สินค้าประมงพื้นบ้านเพื่อเพิ่มมูลค่าผลิตภัณฑ์ในจังหวัดระนอง</t>
  </si>
  <si>
    <t xml:space="preserve">ผู้ช่วยศาสตราจารย์ ดร.สุพัตรา ปราณี 85%
</t>
  </si>
  <si>
    <t>งป 11167/2565</t>
  </si>
  <si>
    <t>การพัฒนาตลาดเชิงรุกและประชาสัมพันธ์ผลิตภัณฑ์ประมงพื้นบ้านเพิ่มมูลค่าผลิตภัณฑ์ในจังหวัดระนอง.</t>
  </si>
  <si>
    <t>งป 11168/2565</t>
  </si>
  <si>
    <t>ผู้ช่วยศาสตราจารย์ วิจิตรา ศรีสอน 5%</t>
  </si>
  <si>
    <t>อาจารย์ พรรณนลิน สัชฌุกร 5%</t>
  </si>
  <si>
    <t>อาจารย์ นฤมล ชมโฉม 5%</t>
  </si>
  <si>
    <t>การจัดการตลาดของผลิตภัณฑ์ชุมชนเพื่อการท่องเที่ยวเชิงสุขภาพ ในจังหวัดระนอง</t>
  </si>
  <si>
    <t xml:space="preserve">อาจารย์ ดร.วรรณพร พุทธภูมิพิทักษ์ 60%
</t>
  </si>
  <si>
    <t xml:space="preserve">วิทยาลัยนวัตกรรมและการจัดการ
 </t>
  </si>
  <si>
    <t>งป 11169/2565</t>
  </si>
  <si>
    <t>รองศาสตราจารย์ ดร.กัญญามน กาญจนาทวีกูล 20%</t>
  </si>
  <si>
    <t>ผู้ช่วยศาสตราจารย์ ดร.ปรเมษฐ์ แสงอ่อน 15%</t>
  </si>
  <si>
    <t>ข้อเสนอด้านเทคนิคโครงการจ้างที่ปรึกษาวิเคราะห์เพื่อจัดทำผังบัญชี คู่มือการปฏิบัติงาน ด้านบัญชี การเงินและพัสดุ และการจัดทำข้อมูลทางการเงินและบัญชีเพื่อใช้ในการบริหารองค์กรของกองทุนพัฒนาการกีฬาแห่งชาติ</t>
  </si>
  <si>
    <t>การกีฬาแห่งประเทศไทย</t>
  </si>
  <si>
    <t>ผู้ช่วยศาสตราจารย์ ดร.สุพัตรา ปราณี 25%</t>
  </si>
  <si>
    <t>39/2564</t>
  </si>
  <si>
    <t>อาจารย์ ดร.วลีรักษ์ สิทธิสม  25%</t>
  </si>
  <si>
    <t>อาจารย์ ดร.สุดารัตน์ พิมลรัตนกานต์  25%</t>
  </si>
  <si>
    <t>อาจารย์ ดร.พนิดา นิลอรุณ  25%</t>
  </si>
  <si>
    <t>การจัดการเชิงกลยุทธ์กีฬาอีสปอร์ตในประเทศไทย</t>
  </si>
  <si>
    <t>อาจารย์ ดร.นธายุ วันทยะกุล</t>
  </si>
  <si>
    <t>10971/2565</t>
  </si>
  <si>
    <t>แนวทางการจัดการกีฬาอีสปอร์ตสู่กีฬาอาชีพ สำหรับผู้เล่นหญิง</t>
  </si>
  <si>
    <t xml:space="preserve">	อาจารย์ ดร.ณัฐวุฒิ พลศรี</t>
  </si>
  <si>
    <t>10989/2565</t>
  </si>
  <si>
    <t>การพัฒนาระบบสารสนเทศสำหรับการบริหารจัดการการท่องเที่ยวเชิงสุขภาพเพื่อยกระดับเศรษฐกิจชุมชน จังหวัดระนองในจังหวัดระนอง</t>
  </si>
  <si>
    <t xml:space="preserve">อาจารย์ ดร.วิไลลักษณ์ รักบำรุง 55%
</t>
  </si>
  <si>
    <t>งป 11129/2565</t>
  </si>
  <si>
    <t>รองศาสตราจารย์ ดร.กัญญามน กาญจนาทวีกูล 10%</t>
  </si>
  <si>
    <t>อาจารย์ ดร.วรรณพร พุทธภูมิพิทักษ์ 10%</t>
  </si>
  <si>
    <t>อาจารย์ ดร.เฉลิมพล ทัพซ้าย 5%</t>
  </si>
  <si>
    <t>อาจารย์คัทลียา จันดา 5%</t>
  </si>
  <si>
    <t>การพัฒนาต้นแบบผลิตภัณฑ์ของฝากของที่ระลึกเพื่อการท่องเที่ยววิสาหกิจชุมชนกลุ่มแปรรูปข้าวบ้านเชียงกรมสู่มาตรฐานสินค้า</t>
  </si>
  <si>
    <t>ผู้ช่วยศาสตราจารย์ ดร.ภัทรวิทย์ อยู่วัฒนะ 80%</t>
  </si>
  <si>
    <t>10760/2565</t>
  </si>
  <si>
    <t>ผู้ช่วยศาสตราจารย์ ดร.กมลวรรณ อยู่วัฒนะ 20%</t>
  </si>
  <si>
    <t>การพัฒนากลยุทธ์ทางการตลาดสำหรับผลิตภัณฑ์ของวิสาหกิจชุมชนกลุ่มแปรรูปข้าวบ้านเชียงกรมสู่สินค้ามาตรฐานเพื่อการท่องเที่ยว</t>
  </si>
  <si>
    <t xml:space="preserve">ผู้ช่วยศาสตราจารย์ ดร.ภัทรวิทย์ อยู่วัฒนะ </t>
  </si>
  <si>
    <t>10925/2565</t>
  </si>
  <si>
    <t>โครงการศึกษาสภาพปัญหาจากการบังคับใช้พระราชบัญญัติส่งเสริมกีฬาอาชีพ พ.ศ. 2556</t>
  </si>
  <si>
    <t>รองศาสตราจารย์ ดร.บรรจบ ภิรมย์คำ 50%</t>
  </si>
  <si>
    <t>93/2564</t>
  </si>
  <si>
    <t>อาจารย์ ดร.กิตติพงษ์ โพธิมู 15%</t>
  </si>
  <si>
    <t>อาจารย์ ดร.ณัฐวุฒิ พลศรี 15%</t>
  </si>
  <si>
    <t>อาจารย์ ดร.อาชวิทธิ์ เจิงกลิ่นจันทน์ 10%</t>
  </si>
  <si>
    <t>อาจารย์ ดร.ปริญญา ขวัญเมืองวานิช 10%</t>
  </si>
  <si>
    <t>โครงการจ้างดำเนินการส่งเสริมการรู้เท่าทันสื่อของประชาชน</t>
  </si>
  <si>
    <t>กองทุนพัฒนาสื่อปลอดภัยและสร้างสรรค์</t>
  </si>
  <si>
    <t>รองศาสตราจารย์ ดร.กัญญามน กาญจนาทวีกูล 50%</t>
  </si>
  <si>
    <t>25/2565</t>
  </si>
  <si>
    <t>ผู้ช่วยศาสตราจารย์สุปราณี วัฒนสิน 10%</t>
  </si>
  <si>
    <t>อาจารย์ ดร.วรรณพร พุทธภูมิพิทักษ์ 30%</t>
  </si>
  <si>
    <t>การวิเคราะห์เส้นทางความสัมพันธ์เชิงสาเหตุที่มีอิทธิพลต่อการพัฒนาทุนทางเศรษฐกิจท้องถิ่นของวิสาหกิจชุมชนส่งเสริมสร้างตราสินค้าผลิตภัณฑ์ทางการท่องเที่ยว</t>
  </si>
  <si>
    <t>วนก-ส-01/2565</t>
  </si>
  <si>
    <t>การวิเคราะห์เส้นทางความสัมพันธ์เชิงสาเหตุที่มีอิทธิพลต่อการพัฒนาศักยภาพการสร้างมูลค่าเพิ่มในผลิตภัณฑ์ของผู้ประกอบการวิสาหกิจชุมชนส่งเสริมสร้างการพัฒนาเศรษฐกิจชุมชน</t>
  </si>
  <si>
    <t>วนก-ส-02/2565</t>
  </si>
  <si>
    <t>การจัดการความรู้ในการตีพิมพ์เผยแพร่ผลงานวิชาการในวารสารวิชาการนานาชาติ</t>
  </si>
  <si>
    <t>ผู้ช่วยศาสตราจารย์ ดร.ชุมพล รอดแจ่ม 60%</t>
  </si>
  <si>
    <t>วนก-ค-01/2565</t>
  </si>
  <si>
    <t>ผู้ช่วยศาสตราจารย์ ดร.ชลภัสสรณ์ สิทธิวรงค์ชัย 40%</t>
  </si>
  <si>
    <t>การพัฒนาเอกลักษณ์ลวดลายผ้าหมักโคลนลำน้ำแม่ลา เพื่อยกระดับเศรษฐกิจชุมชนตำบลแม่ลาอำเภอบางระจัน จังหวัดสิงห์บุรี</t>
  </si>
  <si>
    <t>อาจารย์ ดร.วรรณพร พุทธภูมิพิทักษ์ 60%</t>
  </si>
  <si>
    <t>วนก-ว-02/2565</t>
  </si>
  <si>
    <t>รองศาสตราจารย์ ดร.กัญญามน กาญจนาทวีกูล 30%</t>
  </si>
  <si>
    <t>ผู้ช่วยศาสตราจารย์ ดร.เอกพงศ์ อินเกื้อ 10%</t>
  </si>
  <si>
    <t>การพัฒนาผลิตภัณฑ์จากผลผลิตทางการเกษตรเพื่อการแข่งขันเชิงธุรกิจ ในชุมชนบ้านรี จังหวัดอ่างทอง</t>
  </si>
  <si>
    <t>อาจารย์ นภัสสร เกิดพิทักษ์ 50%</t>
  </si>
  <si>
    <t>วนก-ว-05/2565</t>
  </si>
  <si>
    <t>อาจารย์ ธีรพงศ์ พงษ์เพ็ง 45%</t>
  </si>
  <si>
    <t>ผู้ช่วยศาสตราจารย์ ดร.ชญานันท์ เกิดพิทักษ์ 5%</t>
  </si>
  <si>
    <t>โครงการพัฒนาผลิตภัณฑ์ข้าวเกรียบปลาช่อนสมุนไพร เพื่อการพัฒนาผลิตภัณฑ์ประจำท้องถิ่นตำบลสระแจง อำภอบางระจัน จังหวัดสิงห์บุรี</t>
  </si>
  <si>
    <t>อาจารย์ ดร.ปรรณวัฒน์ ชูวิเชียร 40%</t>
  </si>
  <si>
    <t>วนก-ว-04/2565</t>
  </si>
  <si>
    <t>ผู้ช่วยศาสตราจารย์หทัยพันธน์ สุนทรพิพิธ 20%</t>
  </si>
  <si>
    <t>อาจารย์ พาโชค เลิศอัศวภัทร 20%</t>
  </si>
  <si>
    <t>อาจารย์ พีรันธร แสนสุข 20%</t>
  </si>
  <si>
    <t>การพัฒนาบรรจุภัณฑ์ผลิตภัณฑ์กะปิเพื่อเพิ่มมูลค่าสินค้าของกลุ่มผลิตกุ้งเคยบ้านนาพรุ จังหวัดระนอง</t>
  </si>
  <si>
    <t>อาจารย์ อรพรรณ เดชา 85%</t>
  </si>
  <si>
    <t>วนก-ว-06/2565</t>
  </si>
  <si>
    <t>อาจารย์ พีรันธร แสนสุข 5%</t>
  </si>
  <si>
    <t>โครงการการยกระดับภูมิปัญญาชุมชนสู่ย่านท่องเที่ยวเชิงสร้างสรรค์ในพื้นที่กรุงรัตนโกสิทร์</t>
  </si>
  <si>
    <t>หน่วยบริหารและจัดการทุนด้านการเพิ่ทความสามารถในการแข่งขันของประเทศ (บพข.)</t>
  </si>
  <si>
    <t>ผู้ช่วยศาสตราจารย์อนพัทย์ หนองคู  56%</t>
  </si>
  <si>
    <t>C10F640348</t>
  </si>
  <si>
    <t>รองศาสตราจารย์ ดร.บัณฑิต ผังนิรันดร์ 20%</t>
  </si>
  <si>
    <t>อาจารย์ภาวิณ สุทธินนท์  12%</t>
  </si>
  <si>
    <t>ผู้ช่วยศาสตราจารย์ ดร.ชลภัสสรณ์ สิทธิวรงค์ชัย 12%</t>
  </si>
  <si>
    <t>โครงการการพัฒนาระบบและการบริหารจัดการข้อมูลขนาดใหญ่ (Big data) เชื่อมโยงโครงข่ายอาสาสมัครท่องเที่ยวไทย เพื่อยกระดับความปลอดภัยด้านการท่องเที่ยวของประเทศ</t>
  </si>
  <si>
    <t>รองศาสตราจารย์ ดร.ชุติกาญจน์ ศรีวิบูลย์ 65%</t>
  </si>
  <si>
    <t>หน่วยบริหารและจัดการทุนด้านการเพิ่มความสามารถในการแข่งขันของประเทศ (บพข.)</t>
  </si>
  <si>
    <t>C10F640344</t>
  </si>
  <si>
    <t>ผู้ช่วยศาสตราจารย์ ดร.ศิริลักษณ์ เกตุฉาย  5%</t>
  </si>
  <si>
    <t>อาจารย์ ดร.พิมพ์พลอย ธีรสถิตย์ธรรม 5%</t>
  </si>
  <si>
    <t>อาจารย์ พุทธิวัฒน์ ไวยวุฒิธนาภูมิ 5%</t>
  </si>
  <si>
    <t>อาจารย์ภัสรา สิริกมลศิลป์ 5%</t>
  </si>
  <si>
    <t>การพัฒนาแอปพลิเคชันแนะนำสถานที่ท่องเที่ยวจังหวัดบุรีรัมย์</t>
  </si>
  <si>
    <t>อาจารย์ กษิติธร อัศวพงศ์วาณิช</t>
  </si>
  <si>
    <t>10746/2565</t>
  </si>
  <si>
    <t>การพัฒนาเว็บไซต์รับสมัครนักศึกษา: กรณีศึกษาสาขาวิชาการจัดการระบบสารสนเทศเพื่อธุรกิจ</t>
  </si>
  <si>
    <t>10774/2565</t>
  </si>
  <si>
    <t>การบ่มเพาะวิศวกรสังคมเพื่อการยกระดับสู่การพัฒนาผลิตภัณฑ์ชุมชนบ้านเชียง อำเภอหนองหาน จังหวัดอุดรธานีบนฐานภูมิปัญญาและเศรษฐกิจสร้างสรรค์</t>
  </si>
  <si>
    <t>สัญญาเลขที่ N12B650374</t>
  </si>
  <si>
    <t>รองศาสตราจารย์ ดร.รจนา จันทราสา  20%</t>
  </si>
  <si>
    <t>ผู้ช่วยศาสตราจารย์ ดร.ยุทธนา สุดเจริญ  20%</t>
  </si>
  <si>
    <t>ผู้ช่วยศาสตราจารย์ ดร.วัฒน์ พลอยศรี   20%</t>
  </si>
  <si>
    <t>ผู้ช่วยศาสตราจารย์มรกต วรชัยรุ่งเรือง  20%</t>
  </si>
  <si>
    <t>การพัฒนาสมรรถนะแห่งตนในการดูแลสุขภาพและคุณภาพชีวิตของผู้สูงอายุกลุ่มติดบ้านที่เจ็บป่วยด้วยโรคไม่ติดต่อเรื้อรังที่ควบคุมอาการไม่ได้ในชุมชน เขตเมือง</t>
  </si>
  <si>
    <t>อาจารย์หนึ่งฤทัย โพธิ์ศรี 70%</t>
  </si>
  <si>
    <t xml:space="preserve"> วิทยาลัยพยาบาลและสุขภาพ
</t>
  </si>
  <si>
    <t>10550/2565</t>
  </si>
  <si>
    <t>ผู้ช่วยศาสตราจารย์ พิเศษ ดร.พรพรรณ วรสีหะ 30%</t>
  </si>
  <si>
    <t xml:space="preserve"> วิทยาลัยพยาบาลและสุขภาพ</t>
  </si>
  <si>
    <t>ผลของโปรแกรมการส่งเสริมการรับรู้สมรรถนะแห่งตนในการดูแลสุขภาพร่วมกับการสนับสนุนทางสังคมต่อพฤติกรรมการดูแลตนเองและคุณภาพชีวิตของผู้สูงอายุกลุ่มติดบ้านที่เจ็บป่วยด้วยโรคไม่ติดต่อเรื้อรังที่ควบคุมอาการไม่ได้ในชุมชน เขตเมือง</t>
  </si>
  <si>
    <t>อาจารย์หนึ่งฤทัย โพธิ์ศรี  80%</t>
  </si>
  <si>
    <t>10552/2565</t>
  </si>
  <si>
    <t xml:space="preserve">อาจารย์ศุภลักษณ์ พื้นทอง 10%
</t>
  </si>
  <si>
    <t>อาจารย์อัมพร เจียงวิริชัยกูร 10%</t>
  </si>
  <si>
    <t>ศึกษาพฤติกรรมการดูแลตนเองและคุณภาพชีวิตของผู้สูงอายุกลุ่มติดบ้านที่เจ็บป่วยด้วยโรคไม่ติดต่อเรื้อรังที่ควบคุมอาการไม่ได้ในชุมชน เขตเมือง</t>
  </si>
  <si>
    <t>อาจารย์วิสุดา แก้วพิลา 40%</t>
  </si>
  <si>
    <t>10553/2565</t>
  </si>
  <si>
    <t>รองศาสตราจารย์ประไพวรรณ ด่านประดิษฐ์ 30%</t>
  </si>
  <si>
    <t>อาจารย์ภัทราภรณ์ วงษ์เพ็ญศรี 30%</t>
  </si>
  <si>
    <t>ความสัมพันธ์ระหว่างความรอบรู้ด้านการใช้ยาอย่างสมเหตุผลและพฤติกรรมการใช้ยาอย่างสมเหตุผลของนักศึกษาพยาบาล มหาวิทยาลัยราชภัฏสวนสุนันทา  กรุงเทพมหานคร</t>
  </si>
  <si>
    <t xml:space="preserve">อาจารย์ ดร.อารยา ทิพย์วงศ์ 5%
</t>
  </si>
  <si>
    <t>10992/2565</t>
  </si>
  <si>
    <t xml:space="preserve">ผู้ช่วยศาสตราจารย์วิภากร สอนสนาม 5%
</t>
  </si>
  <si>
    <t xml:space="preserve">อาจารย์รังสิมา พัสระ 5%
</t>
  </si>
  <si>
    <t xml:space="preserve">อาจารย์ธนะวัฒน์ รวมสุก 5%
</t>
  </si>
  <si>
    <t xml:space="preserve">อาจารย์ ดร. กนิษฐ์ โง้วศิริ 5%
</t>
  </si>
  <si>
    <t xml:space="preserve">อาจารย์ ดร.ลักษณ์วิรุฬม์ โชติศิริ 5%
</t>
  </si>
  <si>
    <t>อาจารย์นงลักษณ์ แก้วทอง 70%</t>
  </si>
  <si>
    <t>Prevention of Rheumatic Heart Disease in Thailand: a Postmodern Philosophical Perspective</t>
  </si>
  <si>
    <t>อาจารย์ ดร.อารยา ทิพย์วงศ์</t>
  </si>
  <si>
    <t>11543/2565</t>
  </si>
  <si>
    <t>การพัฒนานวัตกรรมและกระบวนการผลิตภัณฑ์นํ้ามันนวดสปาจากเปลือกเม็ดมะม่วงหิมพานต์เพื่อการท่องเที่ยวสปาสร้างสรรค์บนพื้นฐานภูมิปัญญาท้องถิ่นและวัฒนธรรมจังหวัดระนอง</t>
  </si>
  <si>
    <t>อาจารย์ ดร.นรินทร์ กากะทุม</t>
  </si>
  <si>
    <t>งป 11030/2565</t>
  </si>
  <si>
    <t>การพัฒนานวัตกรรมและกระบวนการผลิตภัณฑ์บํารุงผิวหน้าจากสารสกัดดอกทองกวาวเพื่อส่งเสริมการท้องเที่ยว Green travel จังหวัดอุดรธานี เพื่อสร้างความพร้อมด้านมาตรฐานสิ้นค้าและบริการสู่การเพิ่มขีดความสามารถในการแข่งขันได้อย่างยั่งยืน</t>
  </si>
  <si>
    <t>งป 11042/2565</t>
  </si>
  <si>
    <t>การพัฒนานวัตกรรมผลิตภัณฑ์สุขภาพจากข้าวไรซ์เบอรี่สําหรับธุรกิจร้านนวดแผนไทยและสปา</t>
  </si>
  <si>
    <t xml:space="preserve">อาจารย์ ดร.นรินทร์ กากะทุม 60%
</t>
  </si>
  <si>
    <t>งป 11053/2565</t>
  </si>
  <si>
    <t>ผู้ช่วยศาสตราจารย์ ดร.ยุทธนา สุดเจริญ 30%</t>
  </si>
  <si>
    <t>รองศาสตราจารย์ ดร.รจนา จันทราสา 10%</t>
  </si>
  <si>
    <t>ผลิตภัณฑ์บรรเทาอาการผื่นคันและลดการอักเสบจากเหงือกปลาหมอ</t>
  </si>
  <si>
    <t xml:space="preserve">อาจารย์ ดร. นรินทร์ กากะทุม 60%
</t>
  </si>
  <si>
    <t xml:space="preserve">วิทยาลัยสหเวชศาสตร์
 </t>
  </si>
  <si>
    <t>งป 11059/2565</t>
  </si>
  <si>
    <t>ผู้ช่วยศาสตราจารย์ ดร.ยุทธนา สุดเจริญ 20%</t>
  </si>
  <si>
    <t>ผู้ช่วยศาสตราจารย์ คณิตดา ทองขาว 20%</t>
  </si>
  <si>
    <t>รูปแบบการแพทย์แผนไทยประยุกต์ในวังสวนสุนันทา</t>
  </si>
  <si>
    <t xml:space="preserve">ผู้ช่วยศาสตราจารย์ ศุภะลักษณ์ ฟักคำ 50%
</t>
  </si>
  <si>
    <t xml:space="preserve"> วิทยาลัยสหเวชศาสตร์
 </t>
  </si>
  <si>
    <t>งป 11083/2565</t>
  </si>
  <si>
    <t>อาจารย์ นงนุช บุญแจ้ง 25%</t>
  </si>
  <si>
    <t>อาจารย์ กิ่งแก้ว แจ้งสวัสดิ์ 25%</t>
  </si>
  <si>
    <t>ศึกษารูปแบบผลิตภัณฑ์พอกเข่าตํารับวังสวนสุนันทา</t>
  </si>
  <si>
    <t xml:space="preserve">อาจารย์ กิ่งแก้ว แจ้งสวัสดิ์ 60%
</t>
  </si>
  <si>
    <t>งป 11084/2565</t>
  </si>
  <si>
    <t>อาจารย์ นงนุช บุญแจ้ง 20%</t>
  </si>
  <si>
    <t>ผู้ช่วยศาสตราจารย์ ศุภะลักษณ์ ฟักคำ 20%</t>
  </si>
  <si>
    <t>ศึกษารูปแบบผลิตภัณฑ์นํ้ามันนวดคลายกล้ามเนื้อตํารับวังสวนสุนันทา</t>
  </si>
  <si>
    <t xml:space="preserve">อาจารย์ นงนุช บุญแจ้ง 60%
</t>
  </si>
  <si>
    <t>งป 11085/2565</t>
  </si>
  <si>
    <t>อาจารย์ กิ่งแก้ว แจ้งสวัสดิ์ 15%</t>
  </si>
  <si>
    <t>ผู้ช่วยศาสตราจารย์ ศุภะลักษณ์ ฟักคำ 15%</t>
  </si>
  <si>
    <t>อาจารย์ เรณู ผ่องเสรี 10%</t>
  </si>
  <si>
    <t>การพัฒนาทุนทรัพยากรสิ่งแวดล้อมบริบทเมืองสู่การสร้างสรรค์ผลิตภัณฑ์สมุนไพรในการเสริมสร้างสุขภาวะที่ดีของคนเมืองและสร้างรายได้ให้ชุมชนอย่างยั่งยืน</t>
  </si>
  <si>
    <t xml:space="preserve">อาจารย์ วรรณี พรมด้าว 70%
</t>
  </si>
  <si>
    <t>งป 11088/2565</t>
  </si>
  <si>
    <t>อาจารย์ ธัญญะ พรหมศร 5%</t>
  </si>
  <si>
    <t>อาจารย์ แสงสิทธิ์ กฤษฎี 5%</t>
  </si>
  <si>
    <t>อาจารย์ จตุพร อุ่นประเสริฐสุข 5%</t>
  </si>
  <si>
    <t>อาจารย์ ทิพย์วารินทร์ เบ็ญจนิรัตน์ 5%</t>
  </si>
  <si>
    <t>ผู้ช่วยศาสตราจารย์ ดร. ภูสิทธ์ ภูคำชะโนด 5%</t>
  </si>
  <si>
    <t>อาจารย์ชนกพร ปานจินดา 5%</t>
  </si>
  <si>
    <t>โครงการจัดทำข้อมูลเพื่อกำหนดมาตรฐานยาสมุนไพรไทย จำนวน 10 ชนิด</t>
  </si>
  <si>
    <t xml:space="preserve">อาจารย์ กิตติศักดิ์ แคล้ว จันทร์สุข 70%
</t>
  </si>
  <si>
    <t>งป 11137/2565</t>
  </si>
  <si>
    <t>ผู้ช่วยศาสตราจารย์ ธนขวัญ บุษบัน 10%</t>
  </si>
  <si>
    <t>อาจารย์ อนงค์นุช ทุมปัด 10%</t>
  </si>
  <si>
    <t>ผู้ช่วยศาสตราจารย์ ชุติมา คล้ายสังข์ 5%</t>
  </si>
  <si>
    <t>การศึกษาเอกลักษณทางเคมีของยาสมุนไพรไทย จำนวน 10 ชนิด</t>
  </si>
  <si>
    <t xml:space="preserve">อาจารย์ อนงค์นุช ทุมปัด 70%
</t>
  </si>
  <si>
    <t>งป 11139/2565</t>
  </si>
  <si>
    <t>อาจารย์ กิตติศักดิ์ แคล้ว จันทร์สุข 15%</t>
  </si>
  <si>
    <t>ผู้ช่วยศาสตราจารย์ ธนขวัญ บุษบัน 15%</t>
  </si>
  <si>
    <t>การศึกษาเอกลักษณทางเคมี-ฟสิกสของยาสมุนไพรไทย จำนวน 10 ชนิด</t>
  </si>
  <si>
    <t>งป 11140/2565</t>
  </si>
  <si>
    <t>อาจารย์ อนงค์นุช ทุมปัด 15%</t>
  </si>
  <si>
    <t>การพัฒนาศักยภาพแหล่งท่องเที่ยวเชิงสุขภาพและการบริหารจัดการอย่างยั่งยืนสำหรับผู้ประกอบการ และชุมชนหลังสถานการณ์การระบาดของไวรัสโคโรนา 2019 เพื่อให้เกิดการสร้างรายได้ในจังหวัดระนอง</t>
  </si>
  <si>
    <t xml:space="preserve">อาจารย์ ดร.พรรณี โรจนเบญจกุล 50%
</t>
  </si>
  <si>
    <t>งป 11141/2565</t>
  </si>
  <si>
    <t xml:space="preserve">อาจารย์ ทิพย์วารินทร์ เบ็ญจนิรัตน์ 10%
</t>
  </si>
  <si>
    <t>อาจารย์ จิรวัฒน์ สุดสวาท 10%</t>
  </si>
  <si>
    <t>อาจารย์ พงษ์ศักดิ์ เจริญงามเสมอ 5%</t>
  </si>
  <si>
    <t>อาจารย์ สุณัฐชา เชาว์ไว 5%</t>
  </si>
  <si>
    <t>อาจารย์ จตุพร อุ่นประเสริฐสุข 10%</t>
  </si>
  <si>
    <t>อาจารย์ ศศิเพ็ญ ครุธชั่งทอง 5%</t>
  </si>
  <si>
    <t>อาจารย์ ภาณุพันธ์ ศรีพันธุ์ 5%</t>
  </si>
  <si>
    <t>ภูมิปัญญาท้องถิ่นในการเพิ่มมูลค่าการท่องเที่ยวเชิงสุขภาพบนพื้นฐานวิถีชีวิตชุมชนของจังหวัดระนอง</t>
  </si>
  <si>
    <t xml:space="preserve">อาจารย์ จิรวัฒน์ สุดสวาท 65%
</t>
  </si>
  <si>
    <t>งป 11142/2565</t>
  </si>
  <si>
    <t>อาจารย์ ดร. พรรณี โรจนเบญจกุล 5%</t>
  </si>
  <si>
    <t>ผู้ช่วยศาสตราจารย์ พิจักษณ์ ภู่ตระกูล 5%</t>
  </si>
  <si>
    <t>อาจารย์ วีณา จันทรสมโภชน์ 5%</t>
  </si>
  <si>
    <t>อาจารย์ ณัฐชา วัฒนประภา 5%</t>
  </si>
  <si>
    <t>อาจารย์ สุวรรณา หัดสาหมัด 5%</t>
  </si>
  <si>
    <t>อาจารย์ คัทลียา จันดา 5%</t>
  </si>
  <si>
    <t>การเฝ้าระวังพาหะนำโรคมาลาเรียในพื้นที่การระบาดหนักที่สุดของจังหวัดระนองโดยการประยุกต์องค์ความรู้ทางวิทยาศาสตร์สาธารณสุขเพื่อแก้ไขปัญหาสุขภาพของประชาชนในท้องถิ่นอย่างเร่งด่วน</t>
  </si>
  <si>
    <t xml:space="preserve">ผู้ช่วยศาสตราจารย์ ธนวัฒน์ ชัยพงศ์พัชรา 60%
</t>
  </si>
  <si>
    <t>งป 11143/2565</t>
  </si>
  <si>
    <t>อาจารย์ นันทนา สุวรรณดิษฐากุล 40%</t>
  </si>
  <si>
    <t>การตรวจสอบและประเมินพันธุกรรมของยุงก้นปล่องพาหะนำโรคมาลาเรียในพื้นที่การระบาดหนักที่สุดของจังหวัดระนอง</t>
  </si>
  <si>
    <t>งป 11144/2565</t>
  </si>
  <si>
    <t>ลักษณะของความหลากหลายทางพันธุกรรมของยีนที่ใช้พัฒนาวัคซีนและการกระจายตัวของยีนดื้อยาในพื้นที่การระบาดของโรคมาลาเรียในจังหวัดระนองเปรียบเทียบกับพื้นที่ระบาดทั่วประเทศไทยเพื่อแก้ไขปัญหาสุขภาพของประชาชนในท้องถิ่นอย่างเร่งด่วน</t>
  </si>
  <si>
    <t xml:space="preserve">อาจารย์ นันทนา สุวรรณดิษฐากุล 60%
</t>
  </si>
  <si>
    <t>งป 11145/2565</t>
  </si>
  <si>
    <t>ผู้ช่วยศาสตราจารย์ ธนวัฒน์ ชัยพงศ์พัชรา 40%</t>
  </si>
  <si>
    <t>การสร้างบอร์ดเกมการเรียนรู้ DPC Model เพื่อพัฒนาทักษะการเรียนรู้และนวัตกรรม (4CS)</t>
  </si>
  <si>
    <t xml:space="preserve">ผู้ช่วยศาสตราจารย์ธนวัฒน์ ชัยพงศ์พัชรา
</t>
  </si>
  <si>
    <t>งป 11146/2565</t>
  </si>
  <si>
    <t>ผลของบอร์ดเกมการเรียนรู้ DPC Model เพื่อพัฒนาทักษะการเรียนรู้และนวัตกรรม (4CS)</t>
  </si>
  <si>
    <t>งป 11147/2565</t>
  </si>
  <si>
    <t>สวนสุนันทากับการพัฒนาผลิตภัณฑ์นวัตกรรมด้านสุขภาพสู่ชุมชน : วังสู่เวียงโมเดล</t>
  </si>
  <si>
    <t xml:space="preserve">ผู้ช่วยศาสตราจารย์ ดร. พีรดา ดามาพงษ์ 60%
</t>
  </si>
  <si>
    <t>งป 11148/2565</t>
  </si>
  <si>
    <t>ผู้ช่วยศาสตราจารย์ ดร. พงศ์มาดา ดามาพงษ์ 40%</t>
  </si>
  <si>
    <t>การวิจัยและพัฒนาผลิตภัณฑ์นวัตกรรมด้านสุขภาพวังสวนสุนันทาสู่ชุมชน : วังสู่เวียงโมเดล</t>
  </si>
  <si>
    <t>งป 11149/2565</t>
  </si>
  <si>
    <t>สวนสุนันทากับการพัฒนาผลิตภัณฑ์นวัตกรรมวัสดุเหลือใช้จากส้มโอพันธุ์ขาวใหญ่ สิ่งบ่งชี้ทางภูมิศาสตร์ จังหวัดสมุทรสงคราม สู่สินค้าสุขภาพมูลค่าสูง : แม่กลองโมเดล</t>
  </si>
  <si>
    <t xml:space="preserve">ผู้ช่วยศาสตราจารย์ ดร. พงศ์มาดา ดามาพงษ์ 60%
</t>
  </si>
  <si>
    <t>งป 11150/2565</t>
  </si>
  <si>
    <t>ผู้ช่วยศาสตราจารย์ ดร. พีรดา ดามาพงษ์ 40%</t>
  </si>
  <si>
    <t>การวิจัยและพัฒนาผลิตภัณฑ์นวัตกรรมวัสดุเหลือใช้จากส้มโอพันธุ์ขาวใหญ่ สิ่งบ่งชี้ทางภูมิศาสตร์ จังหวัดสมุทรสงคราม สู่สินค้าสุขภาพมูลค่าสูง : แม่กลองโมเดล</t>
  </si>
  <si>
    <t>งป 11151/2565</t>
  </si>
  <si>
    <t>รำวงมาตรฐาน : การออกกำลังกายที่เหมาะสมกับสุขภาพผู้สูงอายุในชุมชน</t>
  </si>
  <si>
    <t xml:space="preserve">อาจารย์สุรีย์วรรณ สีลาดเลา 80%
</t>
  </si>
  <si>
    <t>10821/2565</t>
  </si>
  <si>
    <t xml:space="preserve">ผู้ช่วยศาสตราจารย์ ดร.พท.ป.วรรณวิมล เมฆวิมล กิ่งแก้ว 10%
</t>
  </si>
  <si>
    <t>ผู้ช่วยศาสตราจารย์ ดร.คมกฤช รัตตะมณี 10%</t>
  </si>
  <si>
    <t>การออกกำลังกายด้วยรำวงมาตรฐานกับคุณภาพชีวิตผู้สูงอายุ ชุมชนวัดไผ่ล้อม จังหวัดนครปฐม</t>
  </si>
  <si>
    <t xml:space="preserve">อาจารย์สุรีย์วรรณ สีลาดเลา  80%
</t>
  </si>
  <si>
    <t>10742/2565</t>
  </si>
  <si>
    <t xml:space="preserve">ผู้ช่วยศาสตราจารย์ ดร.พท.ป.วรรณวิมล เมฆวิมล กิ่งแก้ว 5%
</t>
  </si>
  <si>
    <t xml:space="preserve">อาจารย์ ดร.กันตพงษ์ ปราบสงบ 5%
</t>
  </si>
  <si>
    <t xml:space="preserve">ผู้ช่วยศาสตราจารย์ ดร.คมกฤช รัตตะมณี 5%
</t>
  </si>
  <si>
    <t>อาจารย์กนกพร สมพร 5%</t>
  </si>
  <si>
    <t>การพัฒนารูปแบบการออกกำลังกายสำหรับผู้สูงอายุในชุมชน ด้วยรำวงมาตรฐาน</t>
  </si>
  <si>
    <t>ผู้ช่วยศาสตราจารย์ ดร.พท.ป.วรรณวิมล เมฆวิมล กิ่งแก้ว 20%</t>
  </si>
  <si>
    <t>10840/2565</t>
  </si>
  <si>
    <t xml:space="preserve">อาจารย์สุรีย์วรรณ สีลาดเลา 5%
</t>
  </si>
  <si>
    <t xml:space="preserve">ผู้ช่วยศาสตราจารย์ ดร.ปิยดา วงศ์วิวัฒน์ 5%
</t>
  </si>
  <si>
    <t xml:space="preserve">อาจารย์กนกพร สมพร  60%
</t>
  </si>
  <si>
    <t>อาจารย์ ดร.รัตนา ปานเรียนแสน 5%</t>
  </si>
  <si>
    <t>การพัฒนาผลิตภัณฑ์ เอสเซ้นส์ จากสารสกัดเปลือกหุ้มเมล็ดมะขาม</t>
  </si>
  <si>
    <t xml:space="preserve">อาจารย์ พท.ป.สิริภา แหยมมี 70%
</t>
  </si>
  <si>
    <t>10602/2565</t>
  </si>
  <si>
    <t xml:space="preserve">อาจารย์ พท.ป.แสงสิทธิ์ กฤษฎี  10%
</t>
  </si>
  <si>
    <t xml:space="preserve">อาจารย์ พท.ป.สลิลทิพย์ ตันปัน 10%
</t>
  </si>
  <si>
    <t>อาจารย์ พท.ป.ปภาวี สุขดี 10%</t>
  </si>
  <si>
    <t>ยาสีฟันชนิดเม็ดจากสารสกัดตำรับยาอัมฤควาที</t>
  </si>
  <si>
    <t>10474/2565</t>
  </si>
  <si>
    <t>“I am afraid that others will feel scared and disgusted with me. So, I will keep it a secret until I die”: A qualitative study among patients with tuberculosis receiving DOTS regimen in Thailand</t>
  </si>
  <si>
    <t>อาจารย์ ดร.กันตพงษ์ ปราบสงบ</t>
  </si>
  <si>
    <t>11203/2565</t>
  </si>
  <si>
    <t>การพัฒนาผลิตภัณฑ์มาสก์ลอกออกจากสารสกัดเห็ด 3 อย่าง เพื่อพัฒนาเป็นผลิตภัณฑ์ชุมชน</t>
  </si>
  <si>
    <t>อาจารย์ พท.ป.ชนกพร ปานจินดา 50%</t>
  </si>
  <si>
    <t>10470/2565</t>
  </si>
  <si>
    <t>อาจารย์ พท.ป.กิตติศักดิ์ แคล้ว จันทร์สุข 10%</t>
  </si>
  <si>
    <t>การพัฒนาผลิตภัณฑ์ เซรั่ม จากสารสกัดเปลือกหุ้มเมล็ดมะขาม</t>
  </si>
  <si>
    <t>อาจารย์ พท.ป.แสงสิทธิ์ กฤษฎี 70%</t>
  </si>
  <si>
    <t>10512/2565</t>
  </si>
  <si>
    <t>อาจารย์ พท.ป.สิริภา แหยมมี 10%</t>
  </si>
  <si>
    <t>อาจารย์ พท.ป.สลิลทิพย์ ตันปัน 10%</t>
  </si>
  <si>
    <t>อาจารย์ พท.ป.วรรณี พรมด้าว 10%</t>
  </si>
  <si>
    <t>การพัฒนาผลิตภัณฑ์ สเปรย์ จากสารสกัดเปลือกหุ้มเมล็ดมะขาม</t>
  </si>
  <si>
    <t>อาจารย์ พท.ป.สลิลทิพย์ ตันปัน 70%</t>
  </si>
  <si>
    <t>10601/2565</t>
  </si>
  <si>
    <t>อาจารย์ พท.ป.แสงสิทธิ์ กฤษฎี 10%</t>
  </si>
  <si>
    <t>อาจารย์ พท.ป.ชนกพร ปานจินดา 10%</t>
  </si>
  <si>
    <t>การศึกษาฤทธิ์ต้านอนุมูลอิสระของสารสกัดเปลือกหุ้มเมล็ดมะขาม</t>
  </si>
  <si>
    <t>อาจารย์ พท.ป.ปภาวี สุขดี 70%</t>
  </si>
  <si>
    <t>10618/2565</t>
  </si>
  <si>
    <t>การศึกษาความพึงพอใจของนักท่องเที่ยวเชิงอนุรักษ์ทะเลบัวแดง อำเภอกุมภวาปี จังหวัดอุดรธานี</t>
  </si>
  <si>
    <t>อาจารย์ ศศิเพ็ญ ครุธชั่งทอง 50%</t>
  </si>
  <si>
    <t>11001/2565</t>
  </si>
  <si>
    <t>ร.อ.นายแพทย์พงษ์ศักดิ์ เจริญงามเสมอ 10%</t>
  </si>
  <si>
    <t>อาจารย์ ดร.พรรณี โรจนเบญจกุล 10%</t>
  </si>
  <si>
    <t>อาจารย์ ดร.ทิพย์วารินทร์ เบ็ญจนิรัตน์ 10%</t>
  </si>
  <si>
    <t>อาจารย์ สุณัฐชา เชาว์ไว 10%</t>
  </si>
  <si>
    <t>มะขาม พัฒนาพืชท้องถิ่น ยกระดับสู่สากล</t>
  </si>
  <si>
    <t>อาจารย์ พท.ป.แสงสิทธิ์ กฤษฎี 50%</t>
  </si>
  <si>
    <t>10482/2565</t>
  </si>
  <si>
    <t>อาจารย์ พท.ป.ปภาวี สุขดี10%</t>
  </si>
  <si>
    <t>อาจารย์ พท.ป.ชนกพร ปานจินดา10%</t>
  </si>
  <si>
    <t>การวิเคราะห์แผนการสั่งซื้อและควบคุมปริมาณวัตถุดิบคงคลัง  กรณีศึกษา ฟาร์มปลาหางนกยูงเพื่อการส่งออก จังหวัดนครปฐม</t>
  </si>
  <si>
    <t xml:space="preserve">อาจารย์ วรรณี สุทธใจดี 50%
</t>
  </si>
  <si>
    <t>10871/2565</t>
  </si>
  <si>
    <t>อาจารย์ ไกรวิทย์ สินธุคำมูล 10%</t>
  </si>
  <si>
    <t>อาจารย์ ปิยะอร ศรีวรรณ 10%</t>
  </si>
  <si>
    <t>อาจารย์ วทัญญู ชูภักตร์ 10%</t>
  </si>
  <si>
    <t>อาจารย์ รัชนีวรรณ สุจริต 10%</t>
  </si>
  <si>
    <t>อาจารย์ กานต์นภัส ช้ำเกตุ 10%</t>
  </si>
  <si>
    <t>กิจกรรมโลจิสติกส์และการได้เปรียบทางการแข่งขันส่งผลต่อการสร้างมูลค่าเพิ่มผลิตภัณฑ์จากใบเตยหอม อำเภอพุทธมณฑล จังหวัดนครปฐม</t>
  </si>
  <si>
    <t xml:space="preserve">อาจารย์ ศรีศรินทร์ สุขสุทธิ 70%
</t>
  </si>
  <si>
    <t>10737/2565</t>
  </si>
  <si>
    <t>อาจารย์ กิตติอำพล สุดประเสริฐ 10%</t>
  </si>
  <si>
    <t>ผู้ช่วยศาสตราจารย์ บุณยาพร ภู่ทอง 10%</t>
  </si>
  <si>
    <t>การพัฒนาผลิตภัณฑ์ท้องถิ่นตลอดโซ่อุปทานและโลจิสติกส์ของสินค้าเกษตรดอกบัวแดง เพื่อเพิ่มประสิทธิภาพทางการจัดการชุมชนอย่างยั่งยืนในอำเภอบางเลน จังหวัดนครปฐม</t>
  </si>
  <si>
    <t xml:space="preserve">อาจารย์ อนัญญา บรรยงพิศุทธ์ 45%
</t>
  </si>
  <si>
    <t>10564/2565</t>
  </si>
  <si>
    <t>อาจารย์ ดร. ฉัตรรัตน์ โหตระไวศยะ 15%</t>
  </si>
  <si>
    <t>อาจารย์ ศศิวิมล ว่องวิไล 10%</t>
  </si>
  <si>
    <t>อาจารย์ วราภรณ์ วิมุกตะลพ 10%</t>
  </si>
  <si>
    <t>อาจารย์ พรเกียรติ ภักดีวงศ์เทพ 10%</t>
  </si>
  <si>
    <t>อาจารย์ ปิติพจน์ แซ่เล็ก 5%</t>
  </si>
  <si>
    <t>อาจารย์ สันติพงศ์ จิโรจน์กุลกิจ 5%</t>
  </si>
  <si>
    <t>การเพิ่มศักยภาพด้านโลจิสติกส์ที่ส่งผลต่อการสร้างมูลค่าเพิ่มผลิตภัณฑ์จากมังคุด ในอำเภอกระบุรี  จังหวัดระนอง.</t>
  </si>
  <si>
    <t xml:space="preserve">อาจารย์ ศุภมิตร ศรีสวัสดิ์ 20%
</t>
  </si>
  <si>
    <t>10922/2565</t>
  </si>
  <si>
    <t>อาจารย์ น้องส้ม ศรีสวัสดิ์ 20%</t>
  </si>
  <si>
    <t>อาจารย์ แววมยุรา คำสุข 60%</t>
  </si>
  <si>
    <t>แนวทางการสร้างมูลค่าเพิ่มและความได้เปรียบในการแข่งขันในห่วงโซ่อุปทานของสินค้าเกษตรอินทรีย์จังหวัดนครปฐม</t>
  </si>
  <si>
    <t xml:space="preserve">อาจารย์ ชณิชา หมอยาดี 80%
</t>
  </si>
  <si>
    <t>10733/2565</t>
  </si>
  <si>
    <t>อาจารย์ ศรีศรินทร์ สุขสุทธิ 20%</t>
  </si>
  <si>
    <t>การพัฒนาโซ่อุปทานสินค้าพืชผักสวนครัวเกษตรอินทรีย์เพื่อเพิ่มขีดความสามารถการจัดจำหน่ายผ่านสื่อสังคมออนไลน์ของชุมชนทุ่งเผาเต่า จังหวัดนครปฐม</t>
  </si>
  <si>
    <t xml:space="preserve">อาจารย์ อัญชลี หิรัญแพทย์ 10%
</t>
  </si>
  <si>
    <t>10596/2565</t>
  </si>
  <si>
    <t>อาจารย์ ทมนี สุขใส 70%</t>
  </si>
  <si>
    <t>การพัฒนาการจัดการโลจิสติกส์และโซ่อุปทานในการสร้างมูลค่าเพิ่มทางการตลาดผลิตภัณฑ์จากมะพร้าวของเกษตรกรในพื้นที่จังหวัดนครปฐม</t>
  </si>
  <si>
    <t xml:space="preserve">อาจารย์ พิชญ์พิสุทธิ์ ทิศอาจ 85%
</t>
  </si>
  <si>
    <t>10771/2565</t>
  </si>
  <si>
    <t>อาจารย์ ธนะสาร พานิชยากรณ์ 5%</t>
  </si>
  <si>
    <t>อาจารย์ ธันย์ ชัยทร 5%</t>
  </si>
  <si>
    <t>อาจารย์ สุรพงศ์ อินทรภักดิ์ 5%</t>
  </si>
  <si>
    <t>ศูนย์การศึกษาจังหวัดอุดรธานี (วิทยาลัยโลจิสติกส์ฯ)</t>
  </si>
  <si>
    <t>รูปแบบการสร้างความได้เปรียบในการแข่งขันตลอดห่วงโซ่อุปทานของสินค้าเกษตรอินทรีย์จังหวัดนครปฐม</t>
  </si>
  <si>
    <t xml:space="preserve">อาจารย์ มาธุสร แข็งขัน 60%
</t>
  </si>
  <si>
    <t>10794/2565</t>
  </si>
  <si>
    <t>อาจารย์ แววมยุรา คำสุข 10%</t>
  </si>
  <si>
    <t>อาจารย์ ทมนี สุขใส 10%</t>
  </si>
  <si>
    <t>อาจารย์ ณัฎภัทรศญา เศรษฐโชติสมบัติ 10%</t>
  </si>
  <si>
    <t>การพัฒนาโซ่อุปทานด้วยการบริหารต้นทุนฐานกิจกรรมสินค้าพืชผักสวนครัวเกษตรอินทรีย์ของชุมชนทุ่งเผาเต่า จังหวัดนครปฐม</t>
  </si>
  <si>
    <t xml:space="preserve">อาจารย์ รัชนีวรรณ สุจริต 75%
</t>
  </si>
  <si>
    <t>10750/2565</t>
  </si>
  <si>
    <t>อาจารย์ วรรณี สุทธใจดี 5%</t>
  </si>
  <si>
    <t>อาจารย์ นิภาวรรณ ภูจอม 5%</t>
  </si>
  <si>
    <t>อาจารย์ ศรีศรินทร์ สุขสุทธิ 5%</t>
  </si>
  <si>
    <t>อาจารย์ มาธุสร แข็งขัน 5%</t>
  </si>
  <si>
    <t>อาจารย์ กานต์นภัส ช้ำเกตุ 5%</t>
  </si>
  <si>
    <t>แนวทางการพัฒนาและแปรรูปผลิตภัณฑ์ท้องถิ่นของสินค้าเกษตรบัวแดงในอำเภอบางเลน จังหวัดนครปฐม</t>
  </si>
  <si>
    <t xml:space="preserve">อาจารย์ วราภรณ์ วิมุกตะลพ 70%
</t>
  </si>
  <si>
    <t>10560/2565</t>
  </si>
  <si>
    <t>อาจารย์ อนัญญา บรรยงพิศุทธ์ 20%</t>
  </si>
  <si>
    <t>อาจารย์ สันติพงศ์ จิโรจน์กุลกิจ 10%</t>
  </si>
  <si>
    <t>การพัฒนาระบบฐานข้อมูลโลจิสติกส์ปลาหางนกยูงเพื่อการส่งออกจังหวัดนครปฐม</t>
  </si>
  <si>
    <t xml:space="preserve">อาจารย์ ศิริอร สนองค์ 50%
</t>
  </si>
  <si>
    <t>10703/2565</t>
  </si>
  <si>
    <t>อาจารย์ สราวุธ พุฒนวล 10%</t>
  </si>
  <si>
    <t>อาจารย์ นิภาวรรณ ภูจอม 10%</t>
  </si>
  <si>
    <t>อาจารย์ อัญชลี หิรัญแพทย์ 10%</t>
  </si>
  <si>
    <t>อาจารย์ ดร. พงษ์เทพ ภูเดช 10%</t>
  </si>
  <si>
    <t>การพัฒนาการจัดการโลจิสติกส์และโซ่อุปทาน การสร้างมูลค่าเพิ่ม เพื่อสร้างความได้เปรียบทางการแข่งขันและเพื่อผลการดำเนินงานของเกษตรกรสินค้าเกษตรใบเตยหอมในพื้นที่จังหวัดนครปฐม</t>
  </si>
  <si>
    <t xml:space="preserve">อาจารย์ ดร. สุดารัตน์ พิมลรัตนกานต์ 80%
</t>
  </si>
  <si>
    <t>10565/2565</t>
  </si>
  <si>
    <t>อาจารย์ ดร.สุวัฒน์ นวลขาว 10%</t>
  </si>
  <si>
    <t>อาจารย์ อนุช นามภิญโญ 10%</t>
  </si>
  <si>
    <t>การออกแบบต้นแบบบรรจุภัณฑ์ผลิตภัณฑ์จากมะพร้าวของเกษตรกรในพื้นที่จังหวัดนครปฐม</t>
  </si>
  <si>
    <t xml:space="preserve">อาจารย์ ธนะสาร พานิชยากรณ์ 70%
</t>
  </si>
  <si>
    <t>10852/2565</t>
  </si>
  <si>
    <t>อาจารย์ พิชญ์พิสุทธิ์ ทิศอาจ 30%</t>
  </si>
  <si>
    <t>การพัฒนารูปแบบช่องทางการจัดจำหน่ายผลิตภัณฑ์จากมะพร้าวของเกษตรกรในพื้นที่จังหวัดนครปฐม</t>
  </si>
  <si>
    <t xml:space="preserve">อาจารย์ ธันย์ ชัยทร 100%
</t>
  </si>
  <si>
    <t>10873/2565</t>
  </si>
  <si>
    <t>การศึกษาแนวทางการจัดการห่วงโซ่อุปทานและโลจิสติกส์ของสินค้าเกษตรบัวแดงในอำเภอบางเลน  จังหวัดนครปฐม</t>
  </si>
  <si>
    <t xml:space="preserve">อาจารย์ พรเกียรติ ภักดีวงศ์เทพ 50%
</t>
  </si>
  <si>
    <t>10727/2565</t>
  </si>
  <si>
    <t>อาจารย์ ดร.ฉัตรรัตน์ โหตระไวศยะ 20%</t>
  </si>
  <si>
    <t>อาจารย์ อนัญญา บรรยงพิศุทธ์ 10%</t>
  </si>
  <si>
    <t>อาจารย์ ปิติพจน์ แซ่เล็ก 10%</t>
  </si>
  <si>
    <t>การปฏิบัติด้านการจัดการซัพพลายเชนสีเขียวและการบริหารลูกค้าสัมพันธ์เพื่อยกระดับผลการดำเนินงานของธุรกิจผู้ผลิตอาหารในประเทศไทย</t>
  </si>
  <si>
    <t xml:space="preserve">อาจารย์ ดร.วิศวะ อุนยะวงษ์ 70%
</t>
  </si>
  <si>
    <t>10834/2565</t>
  </si>
  <si>
    <t>ผู้ช่วยศาสตราจารย์ ดร.ปรีชา วรารัตน์ไชย 30%</t>
  </si>
  <si>
    <t>แนวทางการปฏิบัติด้านการจัดการซัพพลายเชนสีเขียวเพื่อพัฒนาผลการดำเนินงานของธุรกิจผู้ผลิตอาหารเสริมในประเทศไทย</t>
  </si>
  <si>
    <t xml:space="preserve">อาจารย์ ดร.วิศวะ อุนยะวงษ์ 50%
</t>
  </si>
  <si>
    <t>10915/2565</t>
  </si>
  <si>
    <t>อาจารย์ ดร. ณัฎภัทรศญา เศรษฐโชติสมบัติ 10%</t>
  </si>
  <si>
    <t>ผู้ช่วยศาสตราจารย์ ดร.ณัฐพัชร์ อารีรัชกุลกานต์ 10%</t>
  </si>
  <si>
    <t>ผู้ช่วยศาสตราจารย์ ดร.ปรีชา วรารัตน์ไชย 10%</t>
  </si>
  <si>
    <t>อาจารย์ ศุภมิตร ศรีสวัสดิ์ 10%</t>
  </si>
  <si>
    <t>อาจารย์ พุทธิวัฒน์ ไวยวุฒิธนาภูมิ 10%</t>
  </si>
  <si>
    <t>การพัฒนาเพื่อยกระดับผลิตภัณฑ์ท้องถิ่นของสินค้าเกษตรมังคุด ในอำเภอกระบุรี จังหวัดระนอง</t>
  </si>
  <si>
    <t xml:space="preserve">อาจารย์ ดร. สุวัฒน์ นวลขาว 50%
</t>
  </si>
  <si>
    <t>10781/2565</t>
  </si>
  <si>
    <t>อาจารย์ พรพรรณา เล่าประวัติชัย 25%</t>
  </si>
  <si>
    <t>อาจารย์ อัมพิกา เล่าประวัติชัย 25%</t>
  </si>
  <si>
    <t>การเพิ่มประสิทธิภาพของระบบห่วงโซ่อุปทานปลายน้ำและเทคโนโลยีสารสนเทศในการเลี้ยงสุกรของจังหวัดนครปฐม</t>
  </si>
  <si>
    <t xml:space="preserve">อาจารย์ พุทธิวัฒน์ ไวยวุฒิธนาภูมิ 60%
</t>
  </si>
  <si>
    <t>10713/2565</t>
  </si>
  <si>
    <t>อาจารย์ธนวัฒน์ วิเศษสินธุ์ 5%</t>
  </si>
  <si>
    <t>อาจารย์ ดร.วิศวะ อุนยะวงษ์ 5%</t>
  </si>
  <si>
    <t>อาจารย์ อนัญญา บรรยงพิศุทธ์ 5%</t>
  </si>
  <si>
    <t>อาจารย์ วราภรณ์ วิมุกตะลพ 5%</t>
  </si>
  <si>
    <t>ผู้ช่วยศาสตราจารย์ ดร.คมสัน โสมณวัตร 5%</t>
  </si>
  <si>
    <t>อาจารย์ ภัสรา สิริกมลศิลป์ 5%</t>
  </si>
  <si>
    <t>อาจารย์ ดร.องอาจ อุ่นอนันต 5%</t>
  </si>
  <si>
    <t>การยกระดับการกระจายสินค้าของสุกรของจังหวัดนครปฐม</t>
  </si>
  <si>
    <t xml:space="preserve"> วิทยาลัยโลจิสติกส์และซัพพลายเชน
</t>
  </si>
  <si>
    <t>10895/2565</t>
  </si>
  <si>
    <t>อาจารย์ พิชญ์พิสุทธิ์ ทิศอาจ 5%</t>
  </si>
  <si>
    <t>ผู้ช่วยศาสตราจารย์ ดร.ศุภรา เจริญภูมิ 5%</t>
  </si>
  <si>
    <t>อาจารย์ สถาปัตย์ กิลาโส 5%</t>
  </si>
  <si>
    <t>อาจารย์ เบญญา หวังมหาพร 5%</t>
  </si>
  <si>
    <t>อาจารย์ พาโชค เลิศอัศวภัทร 3%</t>
  </si>
  <si>
    <t>อาจารย์ นฤมล ชมโฉม 2%</t>
  </si>
  <si>
    <t>การพัฒนาต้นแบบการบริหารจัดการโลจิสติกส์และโซ่อุปทานเพื่อสร้างความยั่งยืนของการท่องเที่ยวเชิงเกษตรสร้างสรรค์ เพื่อพัฒนาเศรษฐกิจฐานรากบ้านในวงใต้ อำเภอละอุ่น จังหวัดระนอง : ทุเรียน GI</t>
  </si>
  <si>
    <t xml:space="preserve">อาจารย์ อัญชลี หิรัญแพทย์ 52%
</t>
  </si>
  <si>
    <t>งป 11103/2565</t>
  </si>
  <si>
    <t>อาจารย์ ทมนี สุขใส 25%</t>
  </si>
  <si>
    <t>อาจารย์ ดร. ฉัตรรัตน์ โหตระไวศยะ 5%</t>
  </si>
  <si>
    <t>อาจารย์ ศศิวิมล ว่องวิไล 4%</t>
  </si>
  <si>
    <t>อาจารย์ ไกรวิทย์ สินธุคำมูล 3%</t>
  </si>
  <si>
    <t>อาจารย์ กานต์นภัส ช้ำเกตุ 2%</t>
  </si>
  <si>
    <t>อาจารย์ รัชนีวรรณ สุจริต 1%</t>
  </si>
  <si>
    <t>อาจารย์ ดร.พงษ์เทพ ภูเดช 1%</t>
  </si>
  <si>
    <t>อาจารย์ ดร.วิศวะ อุนยะวงษ์ 2%</t>
  </si>
  <si>
    <t>อาจารย์ ศิริอร สนองค์ 1%</t>
  </si>
  <si>
    <t>อาจารย์ ปิยะอร ศรีวรรณ 1%</t>
  </si>
  <si>
    <t>อาจารย์ สราวุธ พุฒนวล 1%</t>
  </si>
  <si>
    <t>อาจารย์ วทัญญู ชูภักตร์ 2%</t>
  </si>
  <si>
    <t>การวิเคราะห์การสร้างมูลค่าเพิ่มในห่วงโซ่อุปทานของสินค้าเกษตรอินทรีย์จังหวัดนครปฐม</t>
  </si>
  <si>
    <t>อาจารย์สิทธิชัย พินธุมา 60%</t>
  </si>
  <si>
    <t>10812/2565</t>
  </si>
  <si>
    <t>อาจารย์ ดร.มะโน ปราชญาพิพัฒน์ 10%</t>
  </si>
  <si>
    <t>อาจารย์รัชนีวรรณ สุจริต 10%</t>
  </si>
  <si>
    <t>อาจารย์อัญชลี หิรัญแพทย์ 10%</t>
  </si>
  <si>
    <t xml:space="preserve">ผู้ช่วยศาสตราจารย์ ดร.ณัฐพัชร์ อารีรัชกุลกานต์ 10% </t>
  </si>
  <si>
    <t>การพัฒนาระบบโลจิสติกส์ปลาหางนกยูงเพื่อการส่งออก จังหวัดนครปฐม</t>
  </si>
  <si>
    <t xml:space="preserve">อาจารย์สราวุธ พุฒนวล 45%
</t>
  </si>
  <si>
    <t>10745/2565</t>
  </si>
  <si>
    <t>อาจารย์ศิริอร สนองค์ 5%</t>
  </si>
  <si>
    <t>อาจารย์ไกรวิทย์ สินธุคำมูล 5%</t>
  </si>
  <si>
    <t>อาจารย์ปิยะอร ศรีวรรณ 5%</t>
  </si>
  <si>
    <t>อาจารย์วรรณี สุทธใจดี 5%</t>
  </si>
  <si>
    <t>อาจารย์นิภาวรรณ ภูจอม 5%</t>
  </si>
  <si>
    <t>อาจารย์อัญชลี หิรัญแพทย์ 5%</t>
  </si>
  <si>
    <t>อาจารย์ ดร.ทมนี สุขใส 5%</t>
  </si>
  <si>
    <t>อาจารย์รัชนีวรรณ สุจริต 5%</t>
  </si>
  <si>
    <t>อาจารย์ ดร.พงษ์เทพ ภูเดช 5%</t>
  </si>
  <si>
    <t>อาจารย์กานต์นภัส ช้ำเกตุ 5%</t>
  </si>
  <si>
    <t>การพัฒนาศักยภาพในการแข่งขันของผลิตภัณฑ์ท้องถิ่นเพื่อเพิ่มมูลค่าเพิ่มการจัดการโซ่อุปทานของสินค้าเกษตรมังคุด ในอำเภอกระบุรี จังหวัดระนอง</t>
  </si>
  <si>
    <t xml:space="preserve">อาจารย์ศุภมิตร ศรีสวัสดิ์ 50%
</t>
  </si>
  <si>
    <t>10784/2565</t>
  </si>
  <si>
    <t>อาจารย์ ดร.แววมยุรา คำสุข 10%</t>
  </si>
  <si>
    <t>อาจารย์น้องส้ม ศรีสวัสดิ์ 10%</t>
  </si>
  <si>
    <t>ผู้ช่วยศาสตราจารย์ ดร.คมสัน โสมณวัตร 10%</t>
  </si>
  <si>
    <t>อาจารย์ ดร.จักรพรรณ คงธนะ 10%</t>
  </si>
  <si>
    <t>แนวทางการบริหารลูกค้าสัมพันธ์เพื่อยกระดับผลการดำเนินงานของธุรกิจผู้ผลิตอาหารทะเลในประเทศไทย</t>
  </si>
  <si>
    <t xml:space="preserve">ผู้ช่วยศาสตราจารย์ ดร.ปรีชา วรารัตน์ไชย 40%
</t>
  </si>
  <si>
    <t>10931/2565</t>
  </si>
  <si>
    <t>อาจารย์วทัญญู ชูภักตร์ 10%</t>
  </si>
  <si>
    <t>อาจารย์สราวุธ พุฒนวล 10%</t>
  </si>
  <si>
    <t>อาจารย์พุทธิวัฒน์ ไวยวุฒิธนาภูมิ 10%</t>
  </si>
  <si>
    <t>การประยุกต์ระบบการติดตามและตรวจสอบของการขนส่งสุกรในจังหวัดนครปฐม</t>
  </si>
  <si>
    <t xml:space="preserve">อาจารย์ ดร.ธนะสาร พานิชยากรณ์  25%
</t>
  </si>
  <si>
    <t>10719/2565</t>
  </si>
  <si>
    <t>อาจารย์ธนวัฒน์ วิเศษสินธุ์ 50%</t>
  </si>
  <si>
    <t>อาจารย์พิชญ์พิสุทธิ์ ทิศอาจ 5%</t>
  </si>
  <si>
    <t>อาจารย์กิตติอำพล สุดประเสริฐ 5%</t>
  </si>
  <si>
    <t>ผู้ช่วยศาสตราจารย์ ดร.วิริยา บุญมาเลิศ 5%</t>
  </si>
  <si>
    <t>อาจารย์ปิยมาส กล้าแข็ง 5%</t>
  </si>
  <si>
    <t>อาจารย์พุทธิวัฒน์ ไวยวุฒิธนาภูมิ  5%</t>
  </si>
  <si>
    <t>การศึกษาปัจจัยที่ส่งผลต่อการตัดสินใจเลือกใช้บริการตัวแทนออกของ</t>
  </si>
  <si>
    <t>อาจารย์นิภาวรรณ ภูจอม 100%</t>
  </si>
  <si>
    <t>10984/2565</t>
  </si>
  <si>
    <t>การศึกษาปัจจัยเพื่อการพัฒนาชุมชนเกษตรอินทรีย์ กรณีศึกษาฟาร์ม ABC จังหวัดนครปฐม</t>
  </si>
  <si>
    <t>อาจารย์กานต์นภัส ช้ำเกตุ 100%</t>
  </si>
  <si>
    <t>10991/2565</t>
  </si>
  <si>
    <t>โครงการการจัดจ้างที่ปรึกษาเพื่อดำเนินการวิจัยและพัฒนาธุรกิจขนส่งสินค้าต่อเนื่องหลายรูปแบบ (MTO-Multimadal transport Operation Business Development)</t>
  </si>
  <si>
    <t>บริษัท ศรีตรัง โลจิสติกส์ จำกัด</t>
  </si>
  <si>
    <t>ดร.มะโน ปราชญาพิพัฒน์</t>
  </si>
  <si>
    <t>ใบสั่งจ้าง 1/11/64</t>
  </si>
  <si>
    <t>โครงการที่ปรึกษาจัดทำคำขอสิ่งบ่งชี้ทางภูมิศาสตร์ไทย เพื่อขึ้นทะเบียนในประเทศ สินค้าจักสานครุน้อย</t>
  </si>
  <si>
    <t>กรมทรัพย์สินทางปัญญา</t>
  </si>
  <si>
    <t>40/2565</t>
  </si>
  <si>
    <t>The role of innovative ideas in business sustainability: Evidence from textile industry.</t>
  </si>
  <si>
    <t>อาจารย์ ศศิวิมล ว่องวิไล</t>
  </si>
  <si>
    <t>11204/2565</t>
  </si>
  <si>
    <t>The role of human resource management and supply chain process in sustainable business performance</t>
  </si>
  <si>
    <t>อาจารย์ ดร.พุทธิวัฒน์ ไวยวุฒิธนาภูมิ</t>
  </si>
  <si>
    <t>11520/2565</t>
  </si>
  <si>
    <t>The role of sustainable HRM in supply chain, profitability and resource utilization</t>
  </si>
  <si>
    <t>11521/2565</t>
  </si>
  <si>
    <t>Spiritual Leadership as a Source of Rising Triple Bottom Line, Leads to the Spiritual Well-Being of Employees: A Study of the Telecommunications Sector</t>
  </si>
  <si>
    <t>อาจารย์ ดร.ฉัตรรัตน์ โหตระไวศยะ</t>
  </si>
  <si>
    <t>11522/2565</t>
  </si>
  <si>
    <t>THE DISTRIBUTION PATTERN OF THAILAND’S TUBTIMJUN ROSEAPPLE FOR EXPORTING TO CHINA</t>
  </si>
  <si>
    <t>11531/2565</t>
  </si>
  <si>
    <t>A Multi-Level Lot Sizing ProblemApplication</t>
  </si>
  <si>
    <t>อาจารย์ มาธุสร แข็งขัน 60%</t>
  </si>
  <si>
    <t>11534/2565</t>
  </si>
  <si>
    <t>อาจารย์ ดร.ชณิชา หมอยาดี 20%</t>
  </si>
  <si>
    <t>อาจารย์ ดร.แววมยุรา คำสุข 20%</t>
  </si>
  <si>
    <t>การพัฒนาช่องทางการจัดจำหน่ายผ่านสื่อสังคมออนไลน์สินค้าพืชผักสวนครัวเกษตรอินทรีย์ของชุมชนทุ่งเผาเต่า จังหวัดนครปฐม</t>
  </si>
  <si>
    <t>อาจารย์ ดร.ทมนี สุขใส 70%</t>
  </si>
  <si>
    <t>10599/2565</t>
  </si>
  <si>
    <t>อาจารย์ ปิยะอร ศรีวรรณ 5%</t>
  </si>
  <si>
    <t>อาจารย์ สราวุธ พุฒนวล 5%</t>
  </si>
  <si>
    <t>อาจารย์ ดร.ชณิชา หมอยาดี 5%</t>
  </si>
  <si>
    <t>อาจารย์ อัญชลี หิรัญแพทย์ 5%</t>
  </si>
  <si>
    <t>มาตรการทางกฎหมายเกี่ยวกับการอุปการะเลี้ยงดูผู้สูงวัย</t>
  </si>
  <si>
    <t>ผู้ช่วยศาสตราจารย์ ดร.กมลวรรณ อยู่วัฒนะ 75%</t>
  </si>
  <si>
    <t>10783/2565</t>
  </si>
  <si>
    <t>ผู้ช่วยศาสตราจารย์ ดร.ภัทรวิทย์ อยู่วัฒนะ 15%</t>
  </si>
  <si>
    <t>ผู้ช่วยศาสตราจารย์ไพบูลย์ ชูวัฒนกิจ 10%</t>
  </si>
  <si>
    <t>การวางแผนทางการเงินส่วนบุคคลเพื่อสามารถดำรงชีวิตได้ในวัยเกษียณของคน Gen X  ในพื้นที่ชุมชนพระยาประสิทธิ์ เขตดุสิต กรุงเทพมหานคร</t>
  </si>
  <si>
    <t>อาจารย์ ดร.ธุวธิดา สุวรรณรัตน์ 50%</t>
  </si>
  <si>
    <t>10576/2565</t>
  </si>
  <si>
    <t>ผู้ช่วยศาสตราจารย์ ดร.วิจิตรา ศรีสอน 20%</t>
  </si>
  <si>
    <t>ผู้ช่วยศาสตราจารย์ ดร.จอมชัย เลิศอมรรัฐ10%</t>
  </si>
  <si>
    <t>การพัฒนาภูมิปัญญาเพื่ออยู่ร่วมกับโรคติดเชื้อไวรัสโคโรนา 2019 (Coronavirus Disease 2019 (COVID-19)) ในพื้นที่เขตประเวศ กรุงเทพมหานคร</t>
  </si>
  <si>
    <t>อาจารย์ ดร.ปารณีย์ ศรีแก้ว 40%</t>
  </si>
  <si>
    <t>10883/2565</t>
  </si>
  <si>
    <t>ผู้ช่วยศาสตราจารย์ ดร.วิลาสินี จินตลิขิตดี 35%</t>
  </si>
  <si>
    <t>ผู้ช่วยศาสตราจารย์ ดร.ชยุต ภวภานันท์กุล 15%</t>
  </si>
  <si>
    <t>อาจารย์ ธิดา นิติธรญาดา 10%</t>
  </si>
  <si>
    <t>ธรรมาภิบาลการจัดการสร้างสรรค์ทางสาธารณสุขเพื่ออยู่ร่วมกับโรคติดเชื้อไวรัสโคโรนา 2019 (Coronavirus Disease 2019 (COVID-19) ในพื้นที่เขตประเวศ กรุงเทพมหานคร</t>
  </si>
  <si>
    <t>อาจารย์ ดร.พิมพ์ชนา ศรีบุณยพรรัฐ 90%</t>
  </si>
  <si>
    <t>10914/2565</t>
  </si>
  <si>
    <t>อาจารย์ ดร.ภูดิศ นอขุนทด 10%</t>
  </si>
  <si>
    <t>แนวทางกำหนดมาตรการกฎหมายทางแพ่งและกฎหมายแรงงานเพื่อคุ้มครองผู้สูงวัย</t>
  </si>
  <si>
    <t>ผู้ช่วยศาสตราจารย์ ดร.ภาวิตา ค้าขาย 50%</t>
  </si>
  <si>
    <t>10720/2565</t>
  </si>
  <si>
    <t>ผู้ช่วยศาสตราจารย์สุรศักดิ์ มีบัว 20%</t>
  </si>
  <si>
    <t>ผู้ช่วยศาสตราจารย์ ดร. จิราภรณ์ อัจฉริยะประสิทธิ์ 10%</t>
  </si>
  <si>
    <t>มาตรการทางกฎหมายเกี่ยวกับสวัสดิการแรงงานผู้สูงวัย</t>
  </si>
  <si>
    <t>ผู้ช่วยศาสตราจารย์ ดร. ภาวิตา ค้าขาย  60%</t>
  </si>
  <si>
    <t>10833/2565</t>
  </si>
  <si>
    <t>การสังเคราะห์องค์ความรู้ด้านภาวะผู้นำในศตวรรษที่ 21 ผ่านรายการพอดคาสต์</t>
  </si>
  <si>
    <t>ผู้ช่วยศาสตราจาร ดร.มาธินี คงสถิตย์ 50%</t>
  </si>
  <si>
    <t>10630/2565</t>
  </si>
  <si>
    <t>อาจารย์ ดร.มนทกานติ์ รอดคล้ายย 20%</t>
  </si>
  <si>
    <t>ผู้ช่วยศาสตราจารย์พิจักษณ์ ภู่ตระกูล 20%</t>
  </si>
  <si>
    <t>ผู้ช่วยศาสตราจารย์สุรศักดิ์ มีบัว 10%</t>
  </si>
  <si>
    <t>การวางแผนทางการเงินส่วนบุคคลเพื่อสามารถดำรงชีวิตได้ในวัยเกษียณของทุกGen ในพื้นที่ชุมชนพระยาประสิทธิ์ เขตดุสิต กรุงเทพมหานคร</t>
  </si>
  <si>
    <t>ผู้ช่วยศาสตราจารย์ ดร.วิจิตรา ศรีสอน 60%</t>
  </si>
  <si>
    <t>10570/2565</t>
  </si>
  <si>
    <t>อาจารย์ ดร.ธุวธิดา สุวรรณรัตน์ 20%</t>
  </si>
  <si>
    <t>ผู้ช่วยศาสตราจารย์ ดร.จอมชัย เลิศอมรรัฐ20%</t>
  </si>
  <si>
    <t>การวางแผนทางการเงินส่วนบุคคลเพื่อสามารถดำรงชีวิตได้ในวัยเกษียณของคน Gen Y  ในพื้นที่ชุมชนพระยาประสิทธิ์ เขตดุสิต กรุงเทพมหานคร</t>
  </si>
  <si>
    <t>ผู้ช่วยศาสตราจารย์ ดร.วิจิตรา ศรีสอน 50%</t>
  </si>
  <si>
    <t>10538/2565</t>
  </si>
  <si>
    <t>อาจารย์ ดร.ธุวธิดา สุวรรณรัตน์ 10%</t>
  </si>
  <si>
    <t>การวางแผนทางการเงินส่วนบุคคลเพื่อสามารถดำรงชีวิตได้ในวัยเกษียณของคน Gen Z  ในพื้นที่ชุมชนพระยาประสิทธิ์ เขตดุสิต กรุงเทพมหานคร</t>
  </si>
  <si>
    <t>ผู้ช่วยศาสตราจารย์ ดร.จอมชัย เลิศอมรรัฐ50%</t>
  </si>
  <si>
    <t>10575/2565</t>
  </si>
  <si>
    <t>SNG: รูปแบบอวตารความปรกติเชื่อมต่อธรรมาภิบาลท้องถิ่นเพื่ออยู่ร่วมกับโรคติดเชื้อไวรัสโคโรนา 2019 (Coronavirus Disease 2019 (COVID-19)) ของชุมชนในพื้นที่เขตประเวศ กรุงเทพมหานคร</t>
  </si>
  <si>
    <t>ผู้ช่วยศาสตราจารย์ ดร.ชยุต ภวภานันท์กุล</t>
  </si>
  <si>
    <t>10594/2565</t>
  </si>
  <si>
    <t>DIY: ธรรมาภิบาลนวัตกรรมภาครัฐเพื่ออยู่ร่วมกับโรคติดเชื้อไวรัสโคโรนา 2019 (Coronavirus Disease 2019 (COVID-19))  ของชุมชนในพื้นที่เขตประเวศ กรุงเทพมหานคร</t>
  </si>
  <si>
    <t>10656/2565</t>
  </si>
  <si>
    <t>ปัญหากฎหมายเกี่ยวกับส่วนประกอบของร่างกายมนุษย์ในคดีอาญา</t>
  </si>
  <si>
    <t>อาจารย์ ทัตตนันท์ คงลำธาร 50%</t>
  </si>
  <si>
    <t>10841/2565</t>
  </si>
  <si>
    <t>อาจารย์ ธนวัฒ พิสิฐจินดา 30%</t>
  </si>
  <si>
    <t>อาจารย์ จตุรงค์ เพิ่มรุ่งเรือง 10%</t>
  </si>
  <si>
    <t>อาจารย์ ทศพล ชูโชติ 10%</t>
  </si>
  <si>
    <t>มาตรการทางกฎหมายเกี่ยวกับวิทยาศาสตร์การแพทย์ในคดีอาญา</t>
  </si>
  <si>
    <t>อาจารย์ ธนวัฒ พิสิฐจินดา 50%</t>
  </si>
  <si>
    <t>10839/2565</t>
  </si>
  <si>
    <t>อาจารย์ ทัตตนันท์ คงลำธาร 25%</t>
  </si>
  <si>
    <t>การพัฒนารูปแบบเทคโนโลยีดิจิทัล เพื่อส่งเสริมศักยภาพผู้ประกอบการวิสาหกิจชุมชน ท่องเที่ยวเชิงนิเวศน์และเชิงสุขภาพ  จังหวัดระนอง</t>
  </si>
  <si>
    <t>อาจารย์ ธวัช พุ่มดารา 70%</t>
  </si>
  <si>
    <t>10658/2565</t>
  </si>
  <si>
    <t>อาจารย์ บริบูรณ์ ฉลอง 5%</t>
  </si>
  <si>
    <t>อาจารย์ จิราภรณ์ บุญยิ่ง 5%</t>
  </si>
  <si>
    <t>ผู้ช่วยศาสตราจารย์ เอกณรงค์ วรสีหะ 5%</t>
  </si>
  <si>
    <t>การสำรวจองค์ความรู้ด้านการบริหารจัดการภาครัฐในศตวรรษที่ 21 ผ่านรายการพอดคาสต์</t>
  </si>
  <si>
    <t>ผู้ช่วยศาสตราจารย์ พิจักษณ์ ภู่ตระกูล 80%</t>
  </si>
  <si>
    <t>10582/2565</t>
  </si>
  <si>
    <t>ผู้ช่วยศาสตราจารย์ ดร.มาธินี คงสถิตย์ 10%</t>
  </si>
  <si>
    <t>อาจารย์ ดร.มนทกานติ์ รอดคล้าย 10%</t>
  </si>
  <si>
    <t>การสังเคราะห์องค์ความรู้ด้านการบริหารทรัพยากรมนุษย์ในศตวรรษที่ 21 ผ่านรายการพอดคาสต์</t>
  </si>
  <si>
    <t>ผู้ช่วยศาสตราจารย์ พิจักษณ์ ภู่ตระกูล 50%</t>
  </si>
  <si>
    <t>10628/2565</t>
  </si>
  <si>
    <t>อาจารย์ ดร.สุวรรณฤทธิ์ วงศ์ชะอุ่ม 5%</t>
  </si>
  <si>
    <t>อาจารย์ อัยรวี วีระพันธ์พงศ์ 10%</t>
  </si>
  <si>
    <t>ผู้ช่วยศาสตราจารย์ สุรศักดิ์ มีบัว 5%</t>
  </si>
  <si>
    <t>การพัฒนาการท่องเที่ยวเชิงนิเวศและเชิงสุขภาพของวิสาหกิจชุมชน ในจังหวัดระนอง</t>
  </si>
  <si>
    <t>ผู้ช่วยศาสตราจารย์ พิเศษ พันเอก ดร.วัลลภ พิริยวรรธนะ 65%</t>
  </si>
  <si>
    <t>10649/2565</t>
  </si>
  <si>
    <t>อาจารย์ ดร.ศิริญญา ศิริญานันท์ 10%</t>
  </si>
  <si>
    <t>อาจารย์ ธวัช พุ่มดารา 10%</t>
  </si>
  <si>
    <t>อาจารย์ บริบูรณ์ ฉลอง 10%</t>
  </si>
  <si>
    <t>ตัวแบบเครือข่ายในการจัดบริการสาธารณะของท้องถิ่นไทย</t>
  </si>
  <si>
    <t>อาจารย์ ศรัณย์ จิระพงษ์สุวรรณ 70%</t>
  </si>
  <si>
    <t>10911/2565</t>
  </si>
  <si>
    <t>อาจารย์ สันต์ชัย รัตนะขวัญ 5%</t>
  </si>
  <si>
    <t>ผู้ช่วยศาสตราจารย์ ดร.มารดารัตน์ สุขสง่า 5%</t>
  </si>
  <si>
    <t>อาจารย์ หัชชากร วงศ์สายัณห์ 5%</t>
  </si>
  <si>
    <t>อาจารย์ อัยรวี วีระพันธ์พงศ์ 5%</t>
  </si>
  <si>
    <t>อาจารย์ กฤษณ์ วงศ์วิเศษธร 5%</t>
  </si>
  <si>
    <t>การสร้างมูลค่าเพิ่มสินค้าน้ำตาลมะพร้าวเชิงพาณิชย์เพื่อพัฒนาเศรษฐกิจชุมชนเกษตรกรในวิถีชีวิตใหม่จังหวัดสมุทรสงคราม</t>
  </si>
  <si>
    <t>ผู้ช่วยศาสตราจารย์ สัคพัศ แสงฉาย 70%</t>
  </si>
  <si>
    <t>10631/2565</t>
  </si>
  <si>
    <t>อาจารย์ พิชามณต์ ชาญสุไชย 10%</t>
  </si>
  <si>
    <t>ผู้ช่วยศาสตราจารย์ ดร.กิตติคุณ มีทองจันทร์ 5%</t>
  </si>
  <si>
    <t>อาจารย์ ดร.สุวิทย์ คงสงค์ 5%</t>
  </si>
  <si>
    <t>ผู้ช่วยศาสตราจารย์ ดร.เจตน์สฤษฎิ์ อังศุกาญจนกุล 5%</t>
  </si>
  <si>
    <t>อาจารย์ ภาวิณี โสระเวช 5%</t>
  </si>
  <si>
    <t>โรงเรียนประถมสาธิต</t>
  </si>
  <si>
    <t>นโยบายประชารัฐกับการสร้างมูลค่าเพิ่มสินค้าน้ำตาลมะพร้าวเกษตรกรไทยในวิถีชีวิตใหม่จังหวัดสมุทรสงคราม</t>
  </si>
  <si>
    <t>ผู้ช่วยศาสตราจารย์ สัคพัศ แสงฉาย 90%</t>
  </si>
  <si>
    <t>10668/2565</t>
  </si>
  <si>
    <t>การแก้ไขปัญหาที่ท้าทายและยกระดับการพัฒนาอย่างยั่งยืนด้านสังคมและความมั่นคงในด้านพัฒนาและเสริมสร้างศักยภาพทรัพยากรมนุษย์</t>
  </si>
  <si>
    <t>ผู้ช่วยศาสตราจารย์ พิเศษ พล.ต.ท.ดร.สัณฐาน ชยนนท์ 70%</t>
  </si>
  <si>
    <t>10536/2565</t>
  </si>
  <si>
    <t>อาจารย์ สัณหณัฐ จักรภัทรวงศ์ 30%</t>
  </si>
  <si>
    <t>การนำความรู้ด้านความซื่อสัตย์สุจริตไปใช้ในชีวิตประจำวันของเยาวชนในพื้นที่จังหวัดระนองในพื้นที่จังหวัดระนอง</t>
  </si>
  <si>
    <t>ผู้ช่วยศาสตราจารย์ พิเศษ พล.ต.ท.ดร.สัณฐาน ชยนนท์ 50%</t>
  </si>
  <si>
    <t>10571/2565</t>
  </si>
  <si>
    <t>อาจารย์ ดร.กัญญ์รัชการย์ เลิศอมรศักดิ์ 20%</t>
  </si>
  <si>
    <t>อาจารย์ ดร.กีรติวรรณ กัลยาณมิตร 10%</t>
  </si>
  <si>
    <t>แนวทางในการพัฒนาเครื่องมือเพื่อการบริหารงานขององค์กรปกครองส่วนท้องถิ่นไทย</t>
  </si>
  <si>
    <t>อาจารย์ สันต์ชัย รัตนะขวัญ 70%</t>
  </si>
  <si>
    <t>10481/2565</t>
  </si>
  <si>
    <t>อาจารย์ ศรัณย์ จิระพงษ์สุวรรณ 5%</t>
  </si>
  <si>
    <t>แนวทางการยกระดับอัตลักษณ์ชุมชนพื้นบ้าน สู่การท่องเที่ยวเชิงสร้างสรรค์บนฐานภูมิปัญญาท้องถิ่นและวัฒนธรรมจังหวัดระนอง</t>
  </si>
  <si>
    <t>อาจารย์ วันจักร น้อยจันทร์ 60%</t>
  </si>
  <si>
    <t>งป 11028/2565</t>
  </si>
  <si>
    <t>รองศาสตราจารย์ ดร.นันทิยา น้อยจันทร์ 10%</t>
  </si>
  <si>
    <t>อาจารย์ ดร.พิเชษฐ์ เกิดวิชัย 10%</t>
  </si>
  <si>
    <t>อาจารย์ ณธสร เอื้อการณ์ 5%</t>
  </si>
  <si>
    <t>ความร่วมมือของภาคประชาสังคม ภาคเอกชนและภาครัฐในการฝึกอบรมเพื่อพัฒนาทักษะด้านการให้บริการและด้านสุขภาพของบุคลากรสำหรับการท่องเที่ยวเชิงสุขภาพ บนรากฐานของจิตอาสาภูมิปัญญาท้องถิ่นเพื่อลดความเหลื่อมลํ้าทางเศรษฐกิจและสังคมในเขตพื้นที่จังหวัดระนอง</t>
  </si>
  <si>
    <t>อาจารย์ ดร.ปกครอง มณีโรจน์ 50%</t>
  </si>
  <si>
    <t>งป 11029/2565</t>
  </si>
  <si>
    <t>อาจารย์ ดร.ปารณีย์ ศรีแก้ว 50%</t>
  </si>
  <si>
    <t>กระบวนการยกระดับบทบาทปราชญ์ชาวบ้านและภูมิปัญญาท้องถิ่นในจังหวัดอุดรธานี สู่การท่องเที่ยวสีเขียว Green Tourism อย่างยั่งยืน</t>
  </si>
  <si>
    <t>งป 11039/2565</t>
  </si>
  <si>
    <t>รองศาสตราจารย์ ดร.นันทิยา น้อยจันทร์ 15%</t>
  </si>
  <si>
    <t>อาจารย์ รพีพัฒน์ จันทนินทร 5%</t>
  </si>
  <si>
    <t>อาจารย์ บุญวัฒน์ สว่างวงศ์ 5%</t>
  </si>
  <si>
    <t>ผู้ช่วยศาสตราจารย์ ดร.บัวบุตรี รณฤทธิวิชัย 5%</t>
  </si>
  <si>
    <t>การมีส่วนร่วมของภาคประชาสังคมกับองค์กรปกครองส่วนท้องถิ่นในการออกแบบการท้องเที่ยวเชิงแคมป์สร้างอาชีพให้กับคนรุ่นใหม่และส่งเสริมการท้องเที่ยวแบบอนุรักษ์ธรรมชาติและวิถีชีวิตแบบพอเพียงในจังหวัดอุดรธานี</t>
  </si>
  <si>
    <t>อาจารย์ ดร.ปกครอง มณีโรจน์ 85%</t>
  </si>
  <si>
    <t>งป 11040/2565</t>
  </si>
  <si>
    <t>อาจารย์ ดร.ปารณีย์ ศรีแก้ว 5%</t>
  </si>
  <si>
    <t>รองศาสตราจารย์ ดร. ชุติกาญจน์ ศรีวิบูลย์ 5%</t>
  </si>
  <si>
    <t>การยกระดับมูลค่าเพิ่มของวิสาหกิจชุมชนเพื่อเสริมสร้างรายได้ของจังหวัดระนอง</t>
  </si>
  <si>
    <t>ผู้ช่วยศาสตราจารย์ ดร.จักรวาล สุขไมตรี 70%</t>
  </si>
  <si>
    <t>งป 11152/2565</t>
  </si>
  <si>
    <t>อาจารย์ สัณหณัฐ จักรภัทรวงศ์ 10%</t>
  </si>
  <si>
    <t>การพัฒนาผลิตภัณฑ์และบรรจุภัณฑ์ของวิสาหกิจชุมชนเพื่อเสริมสร้างรายได้ของจังหวัดระนอง</t>
  </si>
  <si>
    <t>ผู้ช่วยศาสตราจารย์ ดร.จักรวาล สุขไมตรี 75%</t>
  </si>
  <si>
    <t>งป 11153/2565</t>
  </si>
  <si>
    <t>ผู้ช่วยศาสตราจารย์ ดร.วิจิตรา ศรีสอน 5%</t>
  </si>
  <si>
    <t>รองศาสตราจารย์ ศิโรตม์ ภาคสุวรรณ 5%</t>
  </si>
  <si>
    <t>พ.ต.อ. ดร.สุริยะ ประภายสาธก 5%</t>
  </si>
  <si>
    <t>ผู้ช่วยศาสตราจารย์ ดร.บารมีบุญ แสงจันทร์ 5%</t>
  </si>
  <si>
    <t>ผู้ช่วยศาสตราจารย์ ดร.ชุมพล รอดแจ่มม 5%</t>
  </si>
  <si>
    <t>การพัฒนาการตลาดเชิงรุกและการประชาสัมพันธ์ของวิสาหกิจชุมชนเพื่อเสริมสร้างรายได้ของจังหวัดระนอง</t>
  </si>
  <si>
    <t>อาจารย์ ดร.กีรติวรรณ กัลยาณมิตร 50%</t>
  </si>
  <si>
    <t>งป 11154/2565</t>
  </si>
  <si>
    <t>อาจารย์ สัณหณัฐ จักรภัทรวงศ์ 20%</t>
  </si>
  <si>
    <t>ผู้ช่วยศาสตราจารย์ พิเศษ พล.ต.ท.ดร.สัณฐาน ชยนนท์ 5%</t>
  </si>
  <si>
    <t>พ.ต.อ. ดร.สุริยะ ประภายสาธก 10%</t>
  </si>
  <si>
    <t>อาจารย์ ดร.สืบสวัสดิ์ วุฒิวรดิษฐ์ 10%</t>
  </si>
  <si>
    <t>ปัญหาผลกระทบและการปรับตัวเพื่ออยู่ร่วมกับโรคติดเชื้อไวรัสโคโรนา 2019 (โควิด 19)  ของชุมชนในพื้นที่เขตประเวศ กรุงเทพมหานคร</t>
  </si>
  <si>
    <t xml:space="preserve">	อาจารย์ ดร.ภูดิศ นอขุนทด 85%
</t>
  </si>
  <si>
    <t>10797/2565</t>
  </si>
  <si>
    <t>ผู้ช่วยศาสตราจารย์ ดร.พิมพ์ชนา ศรีบุณยพรรัฐ  10%</t>
  </si>
  <si>
    <t>การวิจัยเพื่อการสร้างคู่มือการท่องเที่ยวชุมชนอย่างยั่งยืนในจังหวัดระนอง</t>
  </si>
  <si>
    <t xml:space="preserve">อาจารย์วีระพล วงษ์ประเสริฐ 75%
</t>
  </si>
  <si>
    <t>10912/2565</t>
  </si>
  <si>
    <t>อาจารย์ศักรินทร์ ศรีอุปโย 25%</t>
  </si>
  <si>
    <t>ความไว้วางใจตำรวจ การปฏิบัติตามกฎหมายและการให้ความร่วมมือกับตำรวจของประชาชนในเขตดุสิต กรุงเทพมหานคร</t>
  </si>
  <si>
    <t>ผู้ช่วยศาสตราจารย์ พ.ต.ท.ดร.ไวพจน์ กุลาชัย 100%</t>
  </si>
  <si>
    <t>10996/2565</t>
  </si>
  <si>
    <t>กฎหมายสิทธิบัตร: ศึกษากรณีปัญหาการบังคับใช้มาตรการการยกเลิกความคุ้มครองชั่วคราวในสิทธิบัตรการประดิษฐ์วัคซีน COVID-19</t>
  </si>
  <si>
    <t>อาจารย์ณธสร เอื้อการณ์ 100%</t>
  </si>
  <si>
    <t>11000/2565</t>
  </si>
  <si>
    <t>การจัดการความรู้และการถ่ายทอดผลงานวิจัยด้านการบังคับใช้กฎหมายและความปลอดภัยทางถนน (โครงการนำร่องจังหวัดสุพรรณบุรี)</t>
  </si>
  <si>
    <t>ผู้ฃ่วยศาสตราจารย์ พันตำรวจโท ดร.ไวพจน์ กุลาชัย  65%</t>
  </si>
  <si>
    <t>N71B650014</t>
  </si>
  <si>
    <t>ผู้ฃ่วยศาสตราจารย์ พันตำรวจโท ดร.สัณฐาน ชยนนท์ 20%</t>
  </si>
  <si>
    <t>ผู้ฃ่วยศาสตราจารย์ ดร.วิจิตรา ศรีสอน  10%</t>
  </si>
  <si>
    <t>อาจารย์ ดร.เยาวลักษณ์ ชาวบ้านโพธิ์  5%</t>
  </si>
  <si>
    <t>การเพิ่มประสิทธิภาพผลิตภัณฑ์กระชายในนครปฐม</t>
  </si>
  <si>
    <t>อาจารย์ รจนารถ วรมนตรี 90%</t>
  </si>
  <si>
    <t>10718/2565</t>
  </si>
  <si>
    <t>อาจารย์ ดร.ยิ่งศักดิ์ แหวนเพชร 10%</t>
  </si>
  <si>
    <t>การพัฒนาการตลาดท่องเที่ยวเชิงเกษตรและห่วงโซ่อุปทานท่องเที่ยววิสาหกิจชุมชนบ้านโฉนดชุมชนคลองโยง-ลานตากฟ้า ตำบลลานตากฟ้า อำเภอนครชัยศรี จังหวัดนครปฐม บนฐานทรัพยากรนวัตกรรมชุมชน</t>
  </si>
  <si>
    <t>อาจารย์ ศศิธร เจตานนท์ 75%</t>
  </si>
  <si>
    <t>10932/2565</t>
  </si>
  <si>
    <t>ผู้ช่วยศาสตราจารย์ ดร.ชินวัฒน์ ศาสนนันทน์ 25%</t>
  </si>
  <si>
    <t>เส้นทางต้นแบบการท่องเที่ยวเชิงสุขภาพบนฐานภูมิปัญญาท้องถิ่นและวัฒนธรรม จังหวัดระนอง</t>
  </si>
  <si>
    <t>อาจารย์ ดร.สริตา พันธ์เทียน 30%</t>
  </si>
  <si>
    <t>งป 11027/2565</t>
  </si>
  <si>
    <t>ผู้ช่วยศาสตราจารย์ อลิสา ฤทธิชัยฤกษ์ 25%</t>
  </si>
  <si>
    <t>อาจารย์ เนตรนภา เหลืองสอาด 25%</t>
  </si>
  <si>
    <t>อาจารย์ พิมนภัทร์ พันทนา 20%</t>
  </si>
  <si>
    <t>แนวทางการพัฒนาเส้นทางท้องเที่ยวสีเขียวตามแนวรถไฟความเร็วสูง จังหวัดอุดรธานี</t>
  </si>
  <si>
    <t>อาจารย์ ดร.รัมภาภัค ฤกษ์วีระวัฒนา 60%</t>
  </si>
  <si>
    <t>งป 11038/2565</t>
  </si>
  <si>
    <t>อาจารย์ ธีระ อินทรเรือง 10%</t>
  </si>
  <si>
    <t>อาจารย์ ดร.ภรณ์นภัส เบินท์ 10%</t>
  </si>
  <si>
    <t>อาจารย์ ดร.ศุภศักดิ์ เงาประเสริฐวงศ์ 10%</t>
  </si>
  <si>
    <t>การพัฒนาทักษะการคิดขั้นสูง ในนักเรียนระดับมัธยมศึกษา ด้วยการพัฒนาต้นแบบ เขตพื้นที่การศึกษาแห่งการเรียนรู้</t>
  </si>
  <si>
    <t>สำนักงานกองทุนเพื่อความเสมอภาคทางการศึกษา (สำนักงาน กสศ.)</t>
  </si>
  <si>
    <t>อาจารย์ ดร.ศิริเพ็ญ เยี่ยมจรรยา</t>
  </si>
  <si>
    <t>สัญญาเลขที่ 64-0141</t>
  </si>
  <si>
    <t>อาจารย์กัญญาพิไล กุญชรศิริมงคล</t>
  </si>
  <si>
    <t>อาจารย์ ดร.นันทนา ลัดพลี</t>
  </si>
  <si>
    <t>อาจารย์วัชรวิชย์ เพิ่มสินพานทอง</t>
  </si>
  <si>
    <t>อาจารย์ยุพาพร กิจหว่าง</t>
  </si>
  <si>
    <t>อาจารย์สุภัคศิริ ปราการเจริญ</t>
  </si>
  <si>
    <t>การสำรวจความพึงพอใจของผู้เช่าและผู้ใช้บริการในแต่ละตลาดขององค์การตลาด</t>
  </si>
  <si>
    <t>องค์การตลาด กระทรวงมหาดไทย</t>
  </si>
  <si>
    <t xml:space="preserve">	ผู้ช่วยศาสตราจารย์ ดร.อาณัติ ต๊ะปินตา 12.5%</t>
  </si>
  <si>
    <t>50/2564</t>
  </si>
  <si>
    <t xml:space="preserve">		ผู้ช่วยศาสตราจารย์ ดร.กรองทอง ไคริรี 12.5%</t>
  </si>
  <si>
    <t xml:space="preserve">		รองศาสตราจารย์ทัศนีย์ ศิริวรรณ 12.5%</t>
  </si>
  <si>
    <t xml:space="preserve">	รองศาสตราจารย์ฉวีวรรณ แก้วไทรฮะ 12.5%</t>
  </si>
  <si>
    <t>อาจารย์ ดร.บุญทอง บุญทวี 12.5%</t>
  </si>
  <si>
    <t>ผู้ช่วยศาสตราจารย์ ดร.สุพจน์ ไชยสังข์ 12.5%</t>
  </si>
  <si>
    <t xml:space="preserve">	ผู้ช่วยศาสตราจารย์ ดร.จันทร์ชัย หญิงประยูร 12.5%</t>
  </si>
  <si>
    <t xml:space="preserve">	อาจารย์ลือชัย ทิพรังศรี 12.5%</t>
  </si>
  <si>
    <t>นวัตกรรมการจัดการท่องเที่ยวเชิงสร้างสรรค์โดยใช้ทุนวัฒนธรรมริมแม่น้ำนครชัยศรี จังหวัดนครปฐม</t>
  </si>
  <si>
    <t xml:space="preserve">อาจารย์โสภาวรรณ ตรีสุวรรณ์ 85%
</t>
  </si>
  <si>
    <t>10526/2565</t>
  </si>
  <si>
    <t>ผู้ช่วยศาสตราจารย์ ดร.ชญานันท์ เกิดพิทักษ์  5%</t>
  </si>
  <si>
    <t>อาจารย์นภัสสร เกิดพิทักษ์ 5%</t>
  </si>
  <si>
    <t>การสร้างมูลค่าเพิ่มธุรกิจที่พักโดยใช้ทุนวัฒนธรรมริมแม่น้ำนครชัยศรี จังหวัดนครปฐม</t>
  </si>
  <si>
    <t xml:space="preserve">อาจารย์โสภาวรรณ ตรีสุวรรณ์ 90%
</t>
  </si>
  <si>
    <t>10549/2565</t>
  </si>
  <si>
    <t>อาจารย์ปานแพร บุณยพุกกณะ 5%</t>
  </si>
  <si>
    <t>อาจารย์สุนิษา เพ็ญทรัพย์ 5%</t>
  </si>
  <si>
    <t>การจัดการศักยภาพแหล่งท่องเที่ยวเชิงวิถีวัฒนธรรม ริมแม่น้ำนครชัยศรี จังหวัดนครปฐม</t>
  </si>
  <si>
    <t xml:space="preserve">อาจารย์นรินทร์ ยืนทน 80%
</t>
  </si>
  <si>
    <t>10670/2565</t>
  </si>
  <si>
    <t>อาจารย์อรนพัฒน์ เหมือนเผ่าพงษ์ 10%</t>
  </si>
  <si>
    <t>อาจารย์ ดร.กมลลักษณ์ โพธิ์พันธุ์ 10%</t>
  </si>
  <si>
    <t>การพัฒนากิจกรรมเชื่อมโยงเส้นทางท่องเที่ยวโดยใช้ทุนวัฒนธรรมริมแม่น้ำนครชัยศรี จังหวัดนครปฐม</t>
  </si>
  <si>
    <t xml:space="preserve">อาจารย์ โสภาวรรณ ตรีสุวรรณ์ 15%
</t>
  </si>
  <si>
    <t>10699/2565</t>
  </si>
  <si>
    <t>อาจารย์ ดร.นรินทร์ ยืนทน 10%</t>
  </si>
  <si>
    <t>อาจารย์ เบญจพร แย้มจ่าเมือง 10%</t>
  </si>
  <si>
    <t>อาจารย์ อรนพัฒน์ เหมือนเผ่าพงษ์ 65%</t>
  </si>
  <si>
    <t>กลยุทธ์การบริหารและพัฒนาอุสาหกรรมการบินของประเทศไทยในยุควัฒนธรรมปกติใหม่ ภายหลังวิกฤตโรคระบาดโควิด 19</t>
  </si>
  <si>
    <t xml:space="preserve">อาจารย์ ขนิษฐา เจริญนิตย์ 50%
</t>
  </si>
  <si>
    <t>10611/2565</t>
  </si>
  <si>
    <t>อาจารย์ รจนารถ วรมนตรี 40%</t>
  </si>
  <si>
    <t>อาจารย์ เทพลักษณ์ โกมลวณิช 10%</t>
  </si>
  <si>
    <t>การจัดการทรัพยากรมนุษย์เชิงกลยุทธ์ของอุตสาหกรรมการบินในประเทศไทยในยุควัฒนธรรมความปกติใหม่ หลังวิกฤตโรคระบาดโควิด-19</t>
  </si>
  <si>
    <t xml:space="preserve">อาจารย์ ขนิษฐา เจริญนิตย์ 60%
</t>
  </si>
  <si>
    <t>10850/2565</t>
  </si>
  <si>
    <t>อาจารย์ นิสรา แพทย์รังษี 20%</t>
  </si>
  <si>
    <t>ผู้ช่วยศาสตราจารย์ ดร.กรรนภัทร กันแก้ว 20%</t>
  </si>
  <si>
    <t>กลยุทธ์การบริหารการตลาดอุตสาหกรรมการบินในประเทศไทยในยุควัฒนธรรมความปกติใหม่หลังวิกฤตโรคระบาดโควิด 19</t>
  </si>
  <si>
    <t xml:space="preserve">อาจารย์ เทพลักษณ์ โกมลวณิช 50%
</t>
  </si>
  <si>
    <t>10941/2565</t>
  </si>
  <si>
    <t>อาจารย์ ขนิษฐา เจริญนิตย์ 20%</t>
  </si>
  <si>
    <t>อาจารย์ นิสรา แพทย์รังษี 10%</t>
  </si>
  <si>
    <t>การพัฒนาผลิตภัณฑ์กระชายสู่การจัดการชุมชนอย่างยั่งยืนในจังหวัดนครปฐม</t>
  </si>
  <si>
    <t xml:space="preserve">อาจารย์ กรวินท์ กังวล 80%
</t>
  </si>
  <si>
    <t>10664/2565</t>
  </si>
  <si>
    <t>อาจารย์ โสมยา ปรัชญางค์ปรีชา 10%</t>
  </si>
  <si>
    <t>อาจารย์ รจนารถ วรมนตรี 10%</t>
  </si>
  <si>
    <t>การพัฒนาผลิตภัณฑ์กระชายเพื่อเพิ่มรายได้ชุมชนในจังหวัดนครปฐม</t>
  </si>
  <si>
    <t xml:space="preserve">อาจารย์ โสมยา ปรัชญางค์ปรีชา 10%
</t>
  </si>
  <si>
    <t>10655/2565</t>
  </si>
  <si>
    <t>อาจารย์ กรวินท์ กังวล 80%</t>
  </si>
  <si>
    <t>การพัฒนาแนวทางการท่องเที่ยวเชิงกัญชาในประเทศไทย (ชุดโครงการใหญ่)</t>
  </si>
  <si>
    <t xml:space="preserve">อาจารย์ ดร.ศิริเพ็ญ เยี่ยมจรรยา 15%
</t>
  </si>
  <si>
    <t>10756/2565</t>
  </si>
  <si>
    <t>อาจารย์ สุภัคศิริ ปราการเจริญ 20%</t>
  </si>
  <si>
    <t>อาจารย์ นลิน สีมะเสถียรโสภณ 15%</t>
  </si>
  <si>
    <t>อาจารย์ ดร.พงศ์ระพี แก้วไทรฮะ 20%</t>
  </si>
  <si>
    <t>อาจารย์ ภิญญา ชัยสงคราม 15%</t>
  </si>
  <si>
    <t>อาจารย์ คงศักดิ์ บุญอาชาทอง 15%</t>
  </si>
  <si>
    <t>การศึกษาการรับรู้ของผู้บริโภคเกี่ยวกับการท่องเที่ยวเชิงกัญชาในประเทศไทย</t>
  </si>
  <si>
    <t xml:space="preserve">อาจารย์ ดร.พงศ์ระพี แก้วไทรฮะ 40%
</t>
  </si>
  <si>
    <t>10717/2565</t>
  </si>
  <si>
    <t>อาจารย์ ภิญญา ชัยสงคราม 30%</t>
  </si>
  <si>
    <t>อาจารย์ คงศักดิ์ บุญอาชาทอง 30%</t>
  </si>
  <si>
    <t>การวิเคราะห์ปัจจัยแห่งความสำเร็จของธุรกิจท่องเที่ยวเชิงกัญชาในประเทศไทย (ชุดโครงการย่อยภายใต้โครงการใหญ่ "การพัฒนาแนวทางการท่องเที่ยวเชิงกัญชาในประเทศไทย"</t>
  </si>
  <si>
    <t xml:space="preserve">อาจารย์ สุภัคศิริ ปราการเจริญ 30%
</t>
  </si>
  <si>
    <t>10761/2565</t>
  </si>
  <si>
    <t>อาจารย์ ดร.ศิริเพ็ญ เยี่ยมจรรยา 25%</t>
  </si>
  <si>
    <t>อาจารย์ นลิน สีมะเสถียรโสภณ 25%</t>
  </si>
  <si>
    <t>อาจารย์ ญานิกา ชื่นตะโก 20%</t>
  </si>
  <si>
    <t>กลยุทธ์ทางการตลาดของอุตสาหกรรมบริการสู่ชีวิตวิถีใหม่ กรณีศึกษาจังหวัดสมุทรสงคราม</t>
  </si>
  <si>
    <t xml:space="preserve">อาจารย์ ดร.กมลลักษณ์ โพธิ์พันธุ์ 60%
</t>
  </si>
  <si>
    <t>10836/2565</t>
  </si>
  <si>
    <t>อาจารย์ ชลลดา ชูวณิชชานนท์ 10%</t>
  </si>
  <si>
    <t>อาจารย์ โสภาวรรณ ตรีสุวรรณ์ 10%</t>
  </si>
  <si>
    <t>อาจารย์ อรนพัฒน์ เหมือนเผ่าพงษ์ 10%</t>
  </si>
  <si>
    <t>แนวทางการพัฒนาการตลาดของแหล่งท่องเที่ยวประเภทตลาดน้ำสู่ชีวิตวิถีใหม่ จังหวัดสมุทรสงคราม</t>
  </si>
  <si>
    <t xml:space="preserve">อาจารย์ ดร.นรินทร์ ยืนทน 20%
</t>
  </si>
  <si>
    <t>10905/2565</t>
  </si>
  <si>
    <t>อาจารย์ ชลลดา ชูวณิชชานนท์ 60%</t>
  </si>
  <si>
    <t>แนวทางการพัฒนาการตลาดของธุรกิจที่พักแรมสู่ชีวิตวิถีใหม่ ในจังหวัดสมุทรสงคราม</t>
  </si>
  <si>
    <t xml:space="preserve">อาจารย์ ดร.กมลลักษณ์ โพธิ์พันธุ์ 70%
</t>
  </si>
  <si>
    <t>10916/2565</t>
  </si>
  <si>
    <t>อาจารย์ อรนพัฒน์ เหมือนเผ่าพงษ์ 30%</t>
  </si>
  <si>
    <t>ORGANIZATIONAL STRUCTURE ENHANCING AIRLINES EFFIECEINCY AMID THE PANDEMIC: LOW-COST CARRIERS IN THAILAND AS A CASE</t>
  </si>
  <si>
    <t>ผู้ช่วยศาสตราจารย์ ดร.กรรนภัทร กันแก้ว</t>
  </si>
  <si>
    <t>11025/2565</t>
  </si>
  <si>
    <t>โครงการวิจัย ระดับความคิดและความสามารถในการพิสูจน์ในวิชาเรขาคณิตของนักศึกษาครู สาขาวิชาคณิตศาสตร์ชั้นปี่ที่หนี่ง</t>
  </si>
  <si>
    <t>บริษัท เจ.บี.ไอ ทีโซลูชั่น จำกัด</t>
  </si>
  <si>
    <t>ผู้ช่วยศาสตราจารย์ ดร.สุพจน์ ไชยสังข์</t>
  </si>
  <si>
    <t>สัญญาเลขที่ 6/2565</t>
  </si>
  <si>
    <t>แนวทางการพัฒนาคุณภาพการบริการของธุรกิจที่พัก เพื่อรองรับชีวิตวิถีใหม่</t>
  </si>
  <si>
    <t>อาจารย์ ปานฤทัย เห่งพุ่ม 50%</t>
  </si>
  <si>
    <t>02/2565</t>
  </si>
  <si>
    <t>อาจารย์ ชิดชม กันจุฬา 50%</t>
  </si>
  <si>
    <t>การศึกษาพฤติกรรมการท่องเที่ยวของนักศึกษามหาวิทยาลัยราชภัฎสวนสุนันทา ณ ถนนข้าวสาร เขตพระนคร จังหวัดกรุงเทพ</t>
  </si>
  <si>
    <t>ผศ.ฉันทัช วรรณถนอม 40%</t>
  </si>
  <si>
    <t>อาจารย์ ดร.วีระ วีระโสภณ 30%</t>
  </si>
  <si>
    <t>อาจารย์บัว ศรีคช 30%</t>
  </si>
  <si>
    <t>DetDerminants Of Organizational Survival During The Covid -19 Crisis: The Case Of The Airline Industry In Thailand</t>
  </si>
  <si>
    <t>อาจารย์ ดร.นิสรา แพทย์รังษี</t>
  </si>
  <si>
    <t>11542/2565</t>
  </si>
  <si>
    <t>การวิจัยเพื่อการยกระดับการท่องเที่ยวชุมชนอย่างยั่งยืนในจังหวัดระนอง</t>
  </si>
  <si>
    <t>อาจารย์ ศักรินทร์ ศรีอุปโย 75%</t>
  </si>
  <si>
    <t>10669/2565</t>
  </si>
  <si>
    <t>อาจารย์ วีระพล วงษ์ประเสริฐ 25%</t>
  </si>
  <si>
    <t>การวิจัยเพื่อการพัฒนาเส้นทางการท่องเที่ยวชุมชนอย่างยั่งยืนในจังหวัดระนอง</t>
  </si>
  <si>
    <t>10674/2565</t>
  </si>
  <si>
    <t>ผู้สูงอายุกับพฤติกรรมการใช้สื่อออนไลน์ในยุคดิจิทัล</t>
  </si>
  <si>
    <t>อาจารย์ ดร.สาวิตรี สุวรรณโณ 50%</t>
  </si>
  <si>
    <t>10835/2565</t>
  </si>
  <si>
    <t>อาจารย์ ดร.นันทิดา โอฐกรรม 25%</t>
  </si>
  <si>
    <t>อาจารย์ ดร.ดุษฎี นิลดำ 25%</t>
  </si>
  <si>
    <t>การเปิดรับกับการรู้เท่าทันสื่อออนไลน์ของผู้สูงอายุในเขตกรุงเทพมหานคร</t>
  </si>
  <si>
    <t>อาจารย์ ดร.สาวิตรี สุวรรณโณ  70%</t>
  </si>
  <si>
    <t>10731/2565</t>
  </si>
  <si>
    <t>อาจารย์ ดร.นันทิดา โอฐกรรม 20%</t>
  </si>
  <si>
    <t>ผู้ช่วยศาสตราจารย์ กัญภัส อู่ตะเภา 10%</t>
  </si>
  <si>
    <t>การสื่อสารการตลาดด้วยแอพพลิเคชั่น Line กับผู้สูงอายุ ในเขตกรุงเทพมหานคร</t>
  </si>
  <si>
    <t>อาจารย์ อิสรี ไพเราะ 50%</t>
  </si>
  <si>
    <t>10505/2565</t>
  </si>
  <si>
    <t>ผู้ช่วยศาสตราจารย์ กัญภัส อู่ตะเภา 25%</t>
  </si>
  <si>
    <t>อาจารย์ ดร.พิทยา กลองกระโทก 25%</t>
  </si>
  <si>
    <t>พฤติกรรมการใช้สื่อสังคมออนไลน์ในกลุ่มผู้สูงอายุ กรณีศึกษา ผู้สูงอายุเขตบางแค</t>
  </si>
  <si>
    <t>ผู้ช่วยศาสตราจารย์ เรวดี ไวยวาสนา 40%</t>
  </si>
  <si>
    <t>10752/2565</t>
  </si>
  <si>
    <t>ผู้ช่วยศาสตราจารย์ ภากิตติ์ ตรีสุกล 30%</t>
  </si>
  <si>
    <t>ผู้ช่วยศาสตราจารย์ วิภาณี แม้นอินทร์ 30%</t>
  </si>
  <si>
    <t>ทัศนคติและพฤติกรรมการใช้เฟซบุ๊กของผู้สูงอายุในกรุงเทพมหานคร</t>
  </si>
  <si>
    <t>อาจารย์ ดร.นันทิดา โอฐกรรม 60%</t>
  </si>
  <si>
    <t>10646/2565</t>
  </si>
  <si>
    <t>อาจารย์ ดร.สาวิตรี สุวรรณโณ 20%</t>
  </si>
  <si>
    <t>อาจารย์ ดร.สมทบ แก้วเชื้อ 20%</t>
  </si>
  <si>
    <t>แนวทางการพัฒนาการสื่อสารยุคการหลอมรวมสื่อเพื่อส่งเสริมการท่องเที่ยวในรูปแบบเศรษฐกิจดิจิทัลของจังหวัดสมุทรสงคราม</t>
  </si>
  <si>
    <t>อาจารย์ ประพจน์ ณ บางช้าง 60%</t>
  </si>
  <si>
    <t>10782/2565</t>
  </si>
  <si>
    <t>ผู้ช่วยศาสตราจารย์ วิโรจน์ ศรีหิรัญ 20%</t>
  </si>
  <si>
    <t>อาจารย์ สุวิมล อาภาผล 20%</t>
  </si>
  <si>
    <t>กระบวนการสื่อสารเชิงนวัตกรรมเพื่อสร้างสรรค์การท่องเที่ยวเชิงวิถีวัฒนธรรมของจังหวัดสมุทรสงครามในยุคการหลอมรวมสื่อ</t>
  </si>
  <si>
    <t>ผู้ช่วยศาสตราจารย์ วิโรจน์ ศรีหิรัญ 60%</t>
  </si>
  <si>
    <t>10747/2565</t>
  </si>
  <si>
    <t>อาจารย์ ประพจน์ ณ บางช้าง 20%</t>
  </si>
  <si>
    <t>การใช้สื่อประชาสัมพันธ์ดิจิทัลในยุคการหลอมรวมสื่อเพื่อส่งเสริมการท่องเที่ยวจังหวัดสมุทรสงคราม</t>
  </si>
  <si>
    <t>10768/2565</t>
  </si>
  <si>
    <t>การศึกษาปัจจัยมีอิทธิพลต่อการอุปโภคบริโภคในช่วงวิถีชีวิตปกติใหม่ของผู้บริโภคเจเนอเรชั่นซี</t>
  </si>
  <si>
    <t>อาจารย์ ดร.สมทบ แก้วเชื้อ 80%</t>
  </si>
  <si>
    <t>10872/2565</t>
  </si>
  <si>
    <t>อาจารย์ สมิทธินันท์ ไทยรุ่งโรจน์ 20%</t>
  </si>
  <si>
    <t>ส่วนประสมทางการตลาดในช่วงวิถีชีวิตปกติใหม่ที่ส่งผลต่อพฤติกรรมผู้บริโภคเจเนอเรชั่นซี</t>
  </si>
  <si>
    <t>อาจารย์ ดร.สมทบ แก้วเชื้อ 70%</t>
  </si>
  <si>
    <t>10885/2565</t>
  </si>
  <si>
    <t>อาจารย์ สมิทธินันท์ ไทยรุ่งโรจน์ 30%</t>
  </si>
  <si>
    <t xml:space="preserve">เพื่อติดตามและประเมินผลตามนโยบาย กสทช.ที่สำคัญ ในด้านการส่งเสริมสิทธิและเสรีภาพของประชาชน </t>
  </si>
  <si>
    <t>สำนักงานคณะกรรมการกิจการกระจายเสียง กิจการโทรทัศน์ และกิจการโทรคมนาคมแห่งชาติ (กสทช.)</t>
  </si>
  <si>
    <t>ผู้ช่วยศาสตราจารย์ ดร.ประกายกาวิล ศรีจินดา 20%</t>
  </si>
  <si>
    <t xml:space="preserve">สัญญาเลขที่ 8640338 </t>
  </si>
  <si>
    <t>รองศาสตราจารย์ ดร.วิทยา เมฆขำ  5%</t>
  </si>
  <si>
    <t>อาจารย์ปิติมนัส บรรลือ  5%</t>
  </si>
  <si>
    <t>อาจารย์ ดร.ดุษฎี นิลดำ  5%</t>
  </si>
  <si>
    <t>ผู้ช่วยศาสตราจารย์ ดร.กมลวรรณ อยู่วัฒนะ 5%</t>
  </si>
  <si>
    <t>รองศาสตราจารย์ ดร.นิศากร สังวาระนที 5%</t>
  </si>
  <si>
    <t>ผู้ช่วยศาสตราจารย์สุปราณี วัฒนสิน  5%</t>
  </si>
  <si>
    <t>ผู้ช่วยศาสตราจารย์นารีนารถ ปานบุญ 5%</t>
  </si>
  <si>
    <t>รองศาสตราจารย์ สุรสิทธิ์ วิทยารัฐ 5%</t>
  </si>
  <si>
    <t>ผู้ช่วยศาสตราจารย์ปาริชาต รัตนบรรณสกุล5%</t>
  </si>
  <si>
    <t>อาจารย์ ดร.สมทบ แก้วเชื้อ 5%</t>
  </si>
  <si>
    <t>อาจารย์สมิทธินันท์ ไทยรุ่งโรจน์  5%</t>
  </si>
  <si>
    <t>อาจารย์ปุณรภา ประดิษฐพงษ์ 5%</t>
  </si>
  <si>
    <t>อาจารย์ ดร.วลีรักษ์ สิทธิสม  5%</t>
  </si>
  <si>
    <t>การพัฒนารูปแบบการสื่อสารการตลาดสำหรับวิสาหกิจรายย่อยในจังหวัดสมุทรสงคราม</t>
  </si>
  <si>
    <t>รองศาสตราจารย์สุรสิทธิ์ วิทยารัฐ 10%</t>
  </si>
  <si>
    <t>10494/2565</t>
  </si>
  <si>
    <t>ผู้ช่วยศาสตราจารย์ชิโนรส ถิ่นวิไลสกุล 6%</t>
  </si>
  <si>
    <t>ผู้ช่วยศาสตราจารย์นารีนารถ ปานบุญ 6%</t>
  </si>
  <si>
    <t>ผู้ช่วยศาสตราจารย์ปาริชาต รัตนบรรณสกุล 6%</t>
  </si>
  <si>
    <t>ผู้ช่วยศาสตราจารย์ ดร.ประกายกาวิล ศรีจินดา 30%</t>
  </si>
  <si>
    <t>ผู้ช่วยศาสตราจารย์พยนต์ธร สำเร็จกิจเจริญ 32%</t>
  </si>
  <si>
    <t>ความผูกพันต่อตราแอพพลิเคชั่นไลน์ของผู้สูงอายุ</t>
  </si>
  <si>
    <t>อาจารย์ ดร.ดุษฎี นิลดำ</t>
  </si>
  <si>
    <t>10686/2565</t>
  </si>
  <si>
    <t>การศึกษาการเดินทางของผู้ใช้เว็บไซต์ที่ใช้ได้กับทุกอุปกรณ์ระหว่างกูเกิ้ลไซต์ และเว็ปไซต์ที่สร้างเองในการเรียนรู้งานจิตรกรรมฝาผนังล้านนาที่วัดภูมินทร์ จังหวัดน่าน</t>
  </si>
  <si>
    <t>ผศ.ดร.ทวิพาสน์ พิชัยชาญณรงค์</t>
  </si>
  <si>
    <t>วนท. 001/2565</t>
  </si>
  <si>
    <t>สื่อสังคมออนไลน์เพื่อพัฒนาคุณภาพชีวิตของผู้สูงอายุอย่างยั่งยืน กรณีศึกษา ผู้สูงอายุเขตบางแค</t>
  </si>
  <si>
    <t>ผศ.วิชชา สันทนาประสิทธิ์</t>
  </si>
  <si>
    <t>10741/2565</t>
  </si>
  <si>
    <t>การพัฒนา LINE Official เพื่อใช้ในการสื่อสารกับผู้สูงอายุเชิงการท่องเที่ยว ในชุมชนสวนอ้อย เขตดุสิต กรุงเทพมหานคร</t>
  </si>
  <si>
    <t xml:space="preserve">ผศ.ธนิต พฤกธรา 50%
</t>
  </si>
  <si>
    <t>10499/2565</t>
  </si>
  <si>
    <t>ผศ.ดร.ปรมัตถ์ ชุติมันต์ 20%</t>
  </si>
  <si>
    <t>อาจารย์ ปุณรภา ประดิษฐพงษ์ 20%</t>
  </si>
  <si>
    <t>อาจารย์ ดร.บัญยง พูลทรัพย์ 10%</t>
  </si>
  <si>
    <t>การศึกษาพฤติกรรมผู้บริโภคเจเนอเรชั่นซีกับที่มีอิทธิพลการตัดสินใจซื้อสินค้าในช่วงวิถีชีวิตปกติใหม่</t>
  </si>
  <si>
    <t>อาจารย์ สมิทธินันท์ ไทยรุ่งโรจน์ 60%</t>
  </si>
  <si>
    <t>10889/2565</t>
  </si>
  <si>
    <t>อาจารย์ ดร.สมทบ แก้วเชื้อ 40%</t>
  </si>
  <si>
    <t>รูปแบบรายการบนสื่อสังคมออนไลน์สำหรับผู้สูงอายุ กรณีศึกษาผู้สูงอายุ เขตบางแค</t>
  </si>
  <si>
    <t>อาจารย์ปิติมนัส บรรลือ 60%</t>
  </si>
  <si>
    <t>10758/2565</t>
  </si>
  <si>
    <t>ผู้ช่วยศาสตราจารย์วิชชา สันทนาประสิทธิ์ 40%</t>
  </si>
  <si>
    <t>อัตลักษณ์ทางสถาปัตยกรรมเชิงพื้นที่เพื่อเป็นแนวทางการออกแบบสภาพแวดล้อมตลาดต้นแบบและร้านค้าชุมชนเพื่อพัฒนาเศรษฐกิจฐานรากบ้านในวงใต้ อำเภอละอุ่น จังหวัดระนอง : ทุเรียน GI</t>
  </si>
  <si>
    <t>อาจารย์สวลักษณ์ เชื้อสุวรรณ์ 70%</t>
  </si>
  <si>
    <t>งป 11098/2565</t>
  </si>
  <si>
    <t>ผู้ช่วยศาสตราจารย์ ดร.สมบูรณ์ เวสน์ 5%</t>
  </si>
  <si>
    <t>อาจารย์ ดร.ชนกพร ไผทสิทธิกุล 5%</t>
  </si>
  <si>
    <t>อาจารย์ ภาวิณ สุทธินนท์ 5%</t>
  </si>
  <si>
    <t>อาจารย์ สุริยันต์ จันทร์สว่าง 5%</t>
  </si>
  <si>
    <t>อาจารย์ พิพัฒน์ ศักดิ์ศิริเกษมกุล 5%</t>
  </si>
  <si>
    <t>อาจารย์ ดร. ศุภกิจ มูลประมุข 5%</t>
  </si>
  <si>
    <t>โครงการการท่องเที่ยวเชิงอาหารผ่านอัตลักษณ์รัตนโกสินทร์</t>
  </si>
  <si>
    <t>ผู้ช่วยศาสตราจารย์ ดร.สมบูรณ์ เวสน์ 20%</t>
  </si>
  <si>
    <t>C10F640097</t>
  </si>
  <si>
    <t>ดร.ชนกพร ไผทสิทธิกุล 20%</t>
  </si>
  <si>
    <t>อาจารย์ภาวิณ สุทธินนท์ 20%</t>
  </si>
  <si>
    <t>อาจารย์สวลักษณ์ เชื้อสุวรรณ์ 20%</t>
  </si>
  <si>
    <t>ผู้ช่วยศาสตราจารย์ฐิติรัตน์ หมื่นอนันต์ 20%</t>
  </si>
  <si>
    <t>แนวทางการใช้นวัตกรรมเพื่อส่งเสริมเศรษฐกิจสร้างสรรค์จากการท่องเที่ยวเชิงสถาปัตยกรรมวิถีใหม่ ด้วยเทคนิคภาพไทม์แลปส์ กรณีศึกษา เขตดุสิต กรุงเทพมหานคร</t>
  </si>
  <si>
    <t>อาจารย์ พิชา ศรีพระจันทร์</t>
  </si>
  <si>
    <t>10854/2565</t>
  </si>
  <si>
    <t>รูปแบบการพัฒนาผลิตภัณฑ์ทางการท่องเที่ยวจังหวัดอุดรธานีเพื่อสร้างมูลค่าเพิ่ม  สู่การรองรับเป็นเมืองเศรษฐกิจสร้างสรรค์ วิถีใหม่</t>
  </si>
  <si>
    <t>อาจารย์ เอกชัย สีทำมา 40%</t>
  </si>
  <si>
    <t>10624/2565</t>
  </si>
  <si>
    <t>อาจารย์ ธีรารัตน์ อำนาจเจริญ 30%</t>
  </si>
  <si>
    <t>อาจารย์ วรกฤต ชื่นจิตต์ 20%</t>
  </si>
  <si>
    <t>อาจารย์ ธนดล อามาตพล 10%</t>
  </si>
  <si>
    <t>การยกระดับผลิตภัณฑ์และบริการทางการท่องเที่ยวโดยเชื่อมโยงภูมิปัญญาท้องถิ่น จังหวัดอุดรธานี</t>
  </si>
  <si>
    <t>อาจารย์ เอกชัย สีทำมา 50%</t>
  </si>
  <si>
    <t>10770/2565</t>
  </si>
  <si>
    <t>การส่งเสริมการตลาดการท่องเที่ยวเชิงอาหารในเมืองอุดรธานีเพื่อก้าวสู่ยุคปกติถัดไป</t>
  </si>
  <si>
    <t>อาจารย์ วรกฤต ชื่นจิตต์ 50%</t>
  </si>
  <si>
    <t>10896/2565</t>
  </si>
  <si>
    <t>อาจารย์ ธนดล อามาตพล 5%</t>
  </si>
  <si>
    <t>อาจารย์ เอกชัย สีทำมา 15%</t>
  </si>
  <si>
    <t>การพัฒนาผลิตภัณฑ์ท้องถิ่น ข้าวเหนียวโพนงาม ภายใต้แนวคิดเป็นมิตรกับสิ่งแวดล้อม ตำบลโพนงาม อำเภอหนองหาน จังหวัดอุดรธานี</t>
  </si>
  <si>
    <t>อาจารย์ อรรณพ ต.ศรีวงษ์ 80%</t>
  </si>
  <si>
    <t>ศูนย์การศึกษาจังหวัดอุดรธานี (วิทยาลัยนวัตกรรมฯ)</t>
  </si>
  <si>
    <t>10504/2565</t>
  </si>
  <si>
    <t>อาจารย์ ดารณี ดวงพรม 5%</t>
  </si>
  <si>
    <t>อาจารย์ ชลิดา ศรีสุนทร 5%</t>
  </si>
  <si>
    <t>อาจารย์ ชนากานต์ อุณาพรหม 5%</t>
  </si>
  <si>
    <t>อาจารย์ วสุธา อุยพิตัง 5%</t>
  </si>
  <si>
    <t>การพัฒนากระบวนการผลิตไม้กวาดดอกหญ้าวิสาหกิจชุมชนกลุ่มอาชีพสตรีทำไม้กวาดดอกแขมบ้านโคกสี</t>
  </si>
  <si>
    <t>อาจารย์ ศรายุทธ ขวัญเมือง 80%</t>
  </si>
  <si>
    <t>10484/2565</t>
  </si>
  <si>
    <t>อาจารย์ ภิรายุ แสนบุดดา 5%</t>
  </si>
  <si>
    <t>อาจารย์ นภัสวรรณ คุ้มครอง 5%</t>
  </si>
  <si>
    <t>อาจารย์ อมรรัตน์ หมื่นจิตน้อย 5%</t>
  </si>
  <si>
    <t>การเพิ่มประสิทธิภาพในการผลิตไม้กวาดดอกหญ้าวิสาหกิจชุมชนกลุ่มอาชีพสตรีทำไม้กวาดดอกแขมบ้านโคกสี</t>
  </si>
  <si>
    <t>อาจารย์ นภัสวรรณ คุ้มครอง 65%</t>
  </si>
  <si>
    <t>10495/2565</t>
  </si>
  <si>
    <t>อาจารย์ ศรายุทธ ขวัญเมือง 20%</t>
  </si>
  <si>
    <t>นวัตกรรมการยกระดับคุณภาพชีวิตบนฐานรากทุนทางวัฒนธรรมและฟาร์มรู้ของชุมชน บ้านนาชมภู อำเภอนายูง จังหวัดอุดรธานี</t>
  </si>
  <si>
    <t>อาจารย์ ดร.วลีรัตน์ แสงไชย 30%</t>
  </si>
  <si>
    <t>10702/2565</t>
  </si>
  <si>
    <t>อาจารย์ วรกฤต ชื่นจิตต์ 40%</t>
  </si>
  <si>
    <t>การจัดการภูมิทัศน์วัฒนธรรมของชุมชน สู่การรองรับการท่องเที่ยวสีเขียว หมู่บ้านคีรีวงกต อำเภอนายูง จังหวัดอุดรธานี</t>
  </si>
  <si>
    <t>อาจารย์ ดร.ณัฏฐชัย เอกนราจินดาวัฒน์ 50%</t>
  </si>
  <si>
    <t>10793/2565</t>
  </si>
  <si>
    <t>อาจารย์ ดร.วลีรัตน์ แสงไชย 10%</t>
  </si>
  <si>
    <t>อาจารย์ ธีรารัตน์ อำนาจเจริญ 20%</t>
  </si>
  <si>
    <t>อาจารย์ วรกฤต ชื่นจิตต์  10%</t>
  </si>
  <si>
    <t>ศูนย์การศึกษาจังหวัดอุดรธานี  (วิทยาลัยการจัดการอุตสาหกรรมฯ)</t>
  </si>
  <si>
    <t>อาจารย์ ศุภกานต์ โสภาพร 10%</t>
  </si>
  <si>
    <t>ลูกประคบกาแฟ : ศาสตร์แพทย์แผนไทยเพื่อพัฒนานวัตกรรมผลิตภัณฑ์จากทุนทางวัฒนธรรมและผลผลิตด้อยราคา</t>
  </si>
  <si>
    <t>อาจารย์ ศุภกานต์ โสภาพร  40%</t>
  </si>
  <si>
    <t>10795/2565</t>
  </si>
  <si>
    <t>อาจารย์ ดร.ณัฏฐชัย เอกนราจินดาวัฒน์ 20%</t>
  </si>
  <si>
    <t>อัตลักษณ์วัฒนธรรม “หมอลำ” เพื่อการท่องเที่ยวอย่างสร้างสรรค์</t>
  </si>
  <si>
    <t>อาจารย์ ธนดล อามาตพล 50%</t>
  </si>
  <si>
    <t>10603/2565</t>
  </si>
  <si>
    <t>อาจารย์ ธีรารัตน์ อำนาจเจริญ 50%</t>
  </si>
  <si>
    <t>แนวทางการพัฒนาเส้นทางท่องเที่ยวเชิงวัฒนธรรมบนวิถีความเชื่อจังหวัดอุดรธานี</t>
  </si>
  <si>
    <t>อาจารย์ ศุภกานต์ โสภาพร 60%</t>
  </si>
  <si>
    <t>10621/2565</t>
  </si>
  <si>
    <t>อาจารย์ ธีรารัตน์ อำนาจเจริญ 40%</t>
  </si>
  <si>
    <t>แนวทางการส่งเสริมการตลาดออนไลน์ผ้าทอหมี่ขิดย้อมครามสู่การท่องเที่ยวชุมชน กรณีศึกษา: ตำบลบ้านแดง  อำเภอพิบูลย์รักษ์  จังหวัดอุดรธานี</t>
  </si>
  <si>
    <t xml:space="preserve">ศูนย์การศึกษาจังหวัดอุดรธานี (วิทยาลัยการเมืองฯ)
</t>
  </si>
  <si>
    <t>10707/2565</t>
  </si>
  <si>
    <t>การเลือกทำเลที่ตั้งเพื่อจัดตั้งศูนย์กระจายสินค้าการเกษตร กรณีศึกษา : กลุ่มวิสาหกิจชุมชนจังหวัดอุดรธานี</t>
  </si>
  <si>
    <t xml:space="preserve">อาจารย์ ศรายุทธ ขวัญเมือง 5%
</t>
  </si>
  <si>
    <t xml:space="preserve">ศูนย์การศึกษาจังหวัดอุดรธานี (วิทยาลัยโลจิสติกส์ฯ)
</t>
  </si>
  <si>
    <t>10479/2565</t>
  </si>
  <si>
    <t>อาจารย์ สุรพงศ์ อินทรภักดิ์ 80%</t>
  </si>
  <si>
    <t>การพัฒนาช่องทางการจัดจำหน่ายสินค้า กรณีศึกษา วิสาหกิจชุมชนปลาร้าหลนนิคมสงเคราะห์ จังหวัดอุดรธานี</t>
  </si>
  <si>
    <t xml:space="preserve">อาจารย์ นภัสวรรณ คุ้มครอง 80%
</t>
  </si>
  <si>
    <t>10485/2565</t>
  </si>
  <si>
    <t>อาจารย์ ศรายุทธ ขวัญเมือง 5%</t>
  </si>
  <si>
    <t>การเพิ่มประสิทธิภาพการบริหารสินค้าคงคลังของวิสาหกิจชุมชนปลาร้าหลนนิคมสงเคราะห์</t>
  </si>
  <si>
    <t xml:space="preserve">อาจารย์ ภิรายุ แสนบุดดา 5%
</t>
  </si>
  <si>
    <t>10779/2565</t>
  </si>
  <si>
    <t>อาจารย์ อมรรัตน์ หมื่นจิตน้อย 80%</t>
  </si>
  <si>
    <t>การพัฒนาช่องทางการจัดจำหน่ายสินค้าผ่านสื่อพาณิชย์อิเล็กทรอนิกส์ วิสาหกิจชุมชนกลุ่มส่งเสริมแปลงใหญ่ราชินีข้าวเหนียวตำบลโพนงาม จังหวัดอุดรธานี</t>
  </si>
  <si>
    <t xml:space="preserve">1.นางสาว ดารณี ดวงพรม 80%
</t>
  </si>
  <si>
    <t xml:space="preserve">ศูนย์การศึกษาจังหวัดอุดรธานี (วิทยาลัยนวัตกรรมฯ)
</t>
  </si>
  <si>
    <t>10643/2565</t>
  </si>
  <si>
    <t>2.นาย อรรณพ ต.ศรีวงษ์ 5%</t>
  </si>
  <si>
    <t>3.นางสาว ชลิดา ศรีสุนทร 5%</t>
  </si>
  <si>
    <t>4.นาง ชนากานต์ อุณาพรหม 5%</t>
  </si>
  <si>
    <t>5.นาย วสุธา อุยพิตัง 5%</t>
  </si>
  <si>
    <t>การพัฒนาบรรจุภัณฑ์ข้าวเหนียวโพนงามจากวัสดุธรรมชาติ ตำบลโพนงาม อำเภอหนองหาน จังหวัดอุดรธานี</t>
  </si>
  <si>
    <t xml:space="preserve">อาจารย์ อรรณพ ต.ศรีวงษ์  80%
</t>
  </si>
  <si>
    <t>10648/2565</t>
  </si>
  <si>
    <t>รูปแบบการบริหารจัดการภายใต้แนวคิดการตลาดสีเขียวของวิสาหกิจชุมชนกลุ่มส่งเสริมแปลงใหญ่ราชินีข้าวเหนียว ตำบลโพนงาม อำเภอหนองหาน จังหวัดอุดรธานี</t>
  </si>
  <si>
    <t xml:space="preserve">อาจารย์ ชนากานต์ อุณาพรหม 80%
</t>
  </si>
  <si>
    <t>10650/2565</t>
  </si>
  <si>
    <t>อาจารย์ อรรณพ ต.ศรีวงษ์ 5%</t>
  </si>
  <si>
    <t>การสื่อสารการตลาดแบบบูรณาการที่มีผลต่อการตัดสินใจซื้อข้าวเหนียว วิสาหกิจชุมชนกลุ่มส่งเสริมแปลงใหญ่ราชินีข้าวเหนียว ตำบลโพนงาม จังหวัดอุดรธานี</t>
  </si>
  <si>
    <t xml:space="preserve">อาจารย์ ชลิดา ศรีสุนทร 80%
</t>
  </si>
  <si>
    <t>10689/2565</t>
  </si>
  <si>
    <t>การลดต้นทุนในการผลิตไม้กวาดดอกหญ้าวิสาหกิจชุมชนกลุ่มอาชีพสตรีทำไม้กวาดดอกแขมบ้านโคกสี</t>
  </si>
  <si>
    <t xml:space="preserve">อาจารย์ สุรพงศ์ อินทรภักดิ์ 65%
</t>
  </si>
  <si>
    <t>10506/2565</t>
  </si>
  <si>
    <t>การพัฒนาบรรจุภัณฑ์ข้าวเหนียวโพนงาม ตำบลโพนงาม อำเภอหนองหาน จังหวัดอุดรธานี</t>
  </si>
  <si>
    <t>อาจารย์ วสุธา อุยพิตัง</t>
  </si>
  <si>
    <t>ศูนย์การศึกษาจังหวัดอุดรธานี  (วิทยาลัยนวัตกรรมฯ)</t>
  </si>
  <si>
    <t>10978/2565</t>
  </si>
  <si>
    <t>นวัตกรรมบริการเชิงสร้างสรรค์สู่มาตรฐานความปกติใหม่ (New Normal) อย่างรับผิดชอบเพื่อรองรับการท่องเที่ยวโดยชุมชนสีเขียวอย่างยั่งยืน กรณีศึกษา กลุ่มจังหวัด “นคราธานี”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</si>
  <si>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</si>
  <si>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อาจารย์ ธีรารัตน์ อำนาจเจริญ</t>
  </si>
  <si>
    <t>10993/2565</t>
  </si>
  <si>
    <t>การถอดบทเรียนผ่านกระบวนการประชาธิปไตยชุมชนเพื่อการพัฒนาคุณภาพชีวิตของประชาชนในเขตพื้นที่องค์การบริหารส่วนตำบลนาดี อำเภอเมืองอุดรธานี จังหวัดอุดรธานี</t>
  </si>
  <si>
    <t>อาจารย์ ดร.วลีรัตน์​ แสงไชย</t>
  </si>
  <si>
    <t>ศูนย์การศึกษาจังหวัดอุดรธานี (วิทยาลัยการเมืองการปกครองฯ)</t>
  </si>
  <si>
    <t>10995/2565</t>
  </si>
  <si>
    <t>โครงการสำรวจและศึกษาความต้องการ ความคาดหวังของผู้รับบริการและประเมินผลการทำงานระหว่างและหลังดำเนินการ ณ ศูนย์แห่งการบริการนานาชาตินครอุดรธานีและศูนย์บริการอุดรธานี</t>
  </si>
  <si>
    <t>เทศบาลนครอุดรธานี</t>
  </si>
  <si>
    <t>ผู้ช่วยศาสตราจารย์ ดร.ภัทรวิทย์ อยู่วัฒนะ  40%</t>
  </si>
  <si>
    <t>ใบสั่งจ้างเลขที่ จ.133/2565</t>
  </si>
  <si>
    <t>อาจารย์ ดร.วลีรัตน์ แสงไชย  20%</t>
  </si>
  <si>
    <t>อาจารย์ ธีรารัตน์ อำนาจเจริญ  20%</t>
  </si>
  <si>
    <t>อาจารย์ชนากานต์ อุณาพรหม  20%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</si>
</sst>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  <numFmt numFmtId="189" formatCode="0.0000"/>
  </numFmts>
  <fonts count="28" x14ac:knownFonts="1">
    <font>
      <sz val="11"/>
      <color theme="1"/>
      <name val="Tahoma"/>
      <family val="2"/>
    </font>
    <font>
      <sz val="11"/>
      <color theme="1"/>
      <name val="Tahoma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b/>
      <sz val="16"/>
      <color theme="1"/>
      <name val="TH SarabunPSK"/>
      <family val="2"/>
    </font>
    <font>
      <sz val="10"/>
      <name val="Arial"/>
      <family val="2"/>
    </font>
    <font>
      <b/>
      <sz val="16"/>
      <name val="TH SarabunPSK"/>
      <family val="2"/>
    </font>
    <font>
      <b/>
      <sz val="15"/>
      <color theme="1"/>
      <name val="TH SarabunPSK"/>
      <family val="2"/>
    </font>
    <font>
      <b/>
      <sz val="16"/>
      <color theme="1"/>
      <name val="Wingdings"/>
      <charset val="2"/>
    </font>
    <font>
      <sz val="15"/>
      <color theme="1"/>
      <name val="TH SarabunPSK"/>
      <family val="2"/>
    </font>
    <font>
      <sz val="16"/>
      <name val="TH SarabunPSK"/>
      <family val="2"/>
    </font>
    <font>
      <sz val="16"/>
      <color theme="1"/>
      <name val="Wingdings"/>
      <charset val="2"/>
    </font>
    <font>
      <sz val="15"/>
      <name val="TH SarabunPSK"/>
      <family val="2"/>
    </font>
    <font>
      <sz val="16"/>
      <color rgb="FFFF0000"/>
      <name val="TH SarabunPSK"/>
      <family val="2"/>
    </font>
    <font>
      <b/>
      <sz val="15"/>
      <name val="TH SarabunPSK"/>
      <family val="2"/>
    </font>
    <font>
      <b/>
      <sz val="15"/>
      <color theme="0"/>
      <name val="TH SarabunPSK"/>
      <family val="2"/>
    </font>
    <font>
      <b/>
      <sz val="16"/>
      <color theme="0"/>
      <name val="TH SarabunPSK"/>
      <family val="2"/>
    </font>
    <font>
      <b/>
      <sz val="16"/>
      <name val="TH SarabunPSK"/>
      <family val="2"/>
      <charset val="222"/>
    </font>
    <font>
      <b/>
      <sz val="16"/>
      <name val="Wingdings"/>
      <charset val="2"/>
    </font>
    <font>
      <b/>
      <sz val="18"/>
      <color theme="0"/>
      <name val="TH SarabunPSK"/>
      <family val="2"/>
    </font>
    <font>
      <b/>
      <sz val="18"/>
      <color theme="1"/>
      <name val="TH SarabunPSK"/>
      <family val="2"/>
    </font>
    <font>
      <b/>
      <sz val="18"/>
      <name val="TH SarabunPSK"/>
      <family val="2"/>
    </font>
    <font>
      <sz val="18"/>
      <color theme="1"/>
      <name val="TH SarabunPSK"/>
      <family val="2"/>
    </font>
    <font>
      <b/>
      <sz val="16"/>
      <color rgb="FFFF0000"/>
      <name val="TH SarabunPSK"/>
      <family val="2"/>
    </font>
    <font>
      <sz val="11"/>
      <color theme="1"/>
      <name val="Tahoma"/>
      <family val="2"/>
      <scheme val="minor"/>
    </font>
    <font>
      <sz val="16"/>
      <color rgb="FF000000"/>
      <name val="TH SarabunPSK"/>
      <family val="2"/>
    </font>
  </fonts>
  <fills count="20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rgb="FFE2EFD9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/>
        <bgColor indexed="64"/>
      </patternFill>
    </fill>
    <fill>
      <patternFill patternType="solid">
        <fgColor rgb="FF92D050"/>
        <bgColor indexed="64"/>
      </patternFill>
    </fill>
  </fills>
  <borders count="10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hair">
        <color indexed="64"/>
      </bottom>
      <diagonal/>
    </border>
    <border>
      <left style="thin">
        <color rgb="FF000000"/>
      </left>
      <right style="thin">
        <color indexed="64"/>
      </right>
      <top style="hair">
        <color indexed="64"/>
      </top>
      <bottom/>
      <diagonal/>
    </border>
    <border>
      <left style="thin">
        <color rgb="FF000000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hair">
        <color indexed="64"/>
      </bottom>
      <diagonal/>
    </border>
    <border>
      <left style="thin">
        <color rgb="FF000000"/>
      </left>
      <right style="thin">
        <color indexed="64"/>
      </right>
      <top style="hair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hair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hair">
        <color indexed="64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thin">
        <color rgb="FF000000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/>
      <top style="thin">
        <color rgb="FF000000"/>
      </top>
      <bottom style="hair">
        <color indexed="64"/>
      </bottom>
      <diagonal/>
    </border>
    <border>
      <left style="thin">
        <color rgb="FF000000"/>
      </left>
      <right/>
      <top style="hair">
        <color indexed="64"/>
      </top>
      <bottom style="hair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rgb="FF000000"/>
      </right>
      <top style="hair">
        <color indexed="64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indexed="64"/>
      </bottom>
      <diagonal/>
    </border>
    <border>
      <left/>
      <right style="thin">
        <color rgb="FF000000"/>
      </right>
      <top style="hair">
        <color indexed="64"/>
      </top>
      <bottom style="hair">
        <color indexed="64"/>
      </bottom>
      <diagonal/>
    </border>
    <border>
      <left/>
      <right style="thin">
        <color rgb="FF000000"/>
      </right>
      <top style="hair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rgb="FF000000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5">
    <xf numFmtId="0" fontId="0" fillId="0" borderId="0"/>
    <xf numFmtId="187" fontId="1" fillId="0" borderId="0" applyFont="0" applyFill="0" applyBorder="0" applyAlignment="0" applyProtection="0"/>
    <xf numFmtId="0" fontId="7" fillId="0" borderId="0"/>
    <xf numFmtId="187" fontId="1" fillId="0" borderId="0" applyFont="0" applyFill="0" applyBorder="0" applyAlignment="0" applyProtection="0"/>
    <xf numFmtId="43" fontId="26" fillId="0" borderId="0" applyFont="0" applyFill="0" applyBorder="0" applyAlignment="0" applyProtection="0"/>
  </cellStyleXfs>
  <cellXfs count="484">
    <xf numFmtId="0" fontId="0" fillId="0" borderId="0" xfId="0"/>
    <xf numFmtId="0" fontId="2" fillId="2" borderId="1" xfId="0" applyFont="1" applyFill="1" applyBorder="1" applyAlignment="1" applyProtection="1">
      <alignment horizontal="center" vertical="top"/>
      <protection locked="0"/>
    </xf>
    <xf numFmtId="0" fontId="2" fillId="2" borderId="2" xfId="0" applyFont="1" applyFill="1" applyBorder="1" applyAlignment="1" applyProtection="1">
      <alignment horizontal="center" vertical="top"/>
      <protection locked="0"/>
    </xf>
    <xf numFmtId="0" fontId="3" fillId="3" borderId="2" xfId="0" applyFont="1" applyFill="1" applyBorder="1" applyAlignment="1" applyProtection="1">
      <alignment horizontal="left" vertical="top"/>
      <protection locked="0"/>
    </xf>
    <xf numFmtId="0" fontId="2" fillId="2" borderId="3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4" fillId="4" borderId="0" xfId="0" applyFont="1" applyFill="1" applyAlignment="1" applyProtection="1">
      <alignment horizontal="left" vertical="top"/>
      <protection locked="0"/>
    </xf>
    <xf numFmtId="0" fontId="2" fillId="5" borderId="4" xfId="0" applyFont="1" applyFill="1" applyBorder="1" applyAlignment="1" applyProtection="1">
      <alignment horizontal="center" vertical="top"/>
      <protection locked="0"/>
    </xf>
    <xf numFmtId="0" fontId="2" fillId="5" borderId="5" xfId="0" applyFont="1" applyFill="1" applyBorder="1" applyAlignment="1" applyProtection="1">
      <alignment horizontal="center" vertical="top"/>
      <protection locked="0"/>
    </xf>
    <xf numFmtId="0" fontId="5" fillId="3" borderId="5" xfId="0" applyFont="1" applyFill="1" applyBorder="1" applyAlignment="1" applyProtection="1">
      <alignment horizontal="left" vertical="top"/>
      <protection locked="0"/>
    </xf>
    <xf numFmtId="0" fontId="4" fillId="3" borderId="5" xfId="0" applyFont="1" applyFill="1" applyBorder="1" applyAlignment="1" applyProtection="1">
      <alignment horizontal="left" vertical="top"/>
      <protection locked="0"/>
    </xf>
    <xf numFmtId="0" fontId="3" fillId="3" borderId="5" xfId="0" applyFont="1" applyFill="1" applyBorder="1" applyAlignment="1" applyProtection="1">
      <alignment vertical="top"/>
      <protection locked="0"/>
    </xf>
    <xf numFmtId="0" fontId="2" fillId="5" borderId="6" xfId="0" applyFont="1" applyFill="1" applyBorder="1" applyAlignment="1" applyProtection="1">
      <alignment horizontal="center" vertical="top"/>
      <protection locked="0"/>
    </xf>
    <xf numFmtId="0" fontId="4" fillId="4" borderId="2" xfId="0" applyFont="1" applyFill="1" applyBorder="1" applyAlignment="1" applyProtection="1">
      <alignment horizontal="left" vertical="top"/>
      <protection locked="0"/>
    </xf>
    <xf numFmtId="0" fontId="4" fillId="4" borderId="7" xfId="0" applyFont="1" applyFill="1" applyBorder="1" applyAlignment="1" applyProtection="1">
      <alignment horizontal="left" vertical="top"/>
      <protection locked="0"/>
    </xf>
    <xf numFmtId="0" fontId="4" fillId="4" borderId="5" xfId="0" applyFont="1" applyFill="1" applyBorder="1" applyAlignment="1" applyProtection="1">
      <alignment horizontal="left" vertical="top"/>
      <protection locked="0"/>
    </xf>
    <xf numFmtId="0" fontId="6" fillId="3" borderId="8" xfId="0" applyFont="1" applyFill="1" applyBorder="1" applyAlignment="1" applyProtection="1">
      <alignment horizontal="center" vertical="top"/>
      <protection locked="0"/>
    </xf>
    <xf numFmtId="0" fontId="4" fillId="4" borderId="0" xfId="0" applyFont="1" applyFill="1" applyBorder="1" applyAlignment="1" applyProtection="1">
      <alignment horizontal="left" vertical="top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8" fillId="3" borderId="8" xfId="2" applyFont="1" applyFill="1" applyBorder="1" applyAlignment="1" applyProtection="1">
      <alignment horizontal="center" vertical="center" wrapText="1"/>
      <protection locked="0"/>
    </xf>
    <xf numFmtId="0" fontId="8" fillId="6" borderId="8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9" fillId="7" borderId="8" xfId="0" applyFont="1" applyFill="1" applyBorder="1" applyAlignment="1" applyProtection="1">
      <alignment horizontal="left" vertical="center"/>
      <protection locked="0"/>
    </xf>
    <xf numFmtId="188" fontId="9" fillId="7" borderId="9" xfId="1" applyNumberFormat="1" applyFont="1" applyFill="1" applyBorder="1" applyAlignment="1" applyProtection="1">
      <alignment horizontal="center" vertical="top" wrapText="1"/>
      <protection locked="0"/>
    </xf>
    <xf numFmtId="187" fontId="9" fillId="7" borderId="4" xfId="1" applyFont="1" applyFill="1" applyBorder="1" applyAlignment="1" applyProtection="1">
      <alignment horizontal="center" vertical="center" wrapText="1"/>
      <protection locked="0"/>
    </xf>
    <xf numFmtId="0" fontId="9" fillId="7" borderId="4" xfId="0" applyNumberFormat="1" applyFont="1" applyFill="1" applyBorder="1" applyAlignment="1" applyProtection="1">
      <alignment horizontal="center" vertical="center" wrapText="1"/>
      <protection locked="0"/>
    </xf>
    <xf numFmtId="4" fontId="6" fillId="7" borderId="9" xfId="0" applyNumberFormat="1" applyFont="1" applyFill="1" applyBorder="1" applyAlignment="1" applyProtection="1">
      <alignment horizontal="center" vertical="top" wrapText="1"/>
      <protection hidden="1"/>
    </xf>
    <xf numFmtId="189" fontId="6" fillId="7" borderId="9" xfId="0" applyNumberFormat="1" applyFont="1" applyFill="1" applyBorder="1" applyAlignment="1" applyProtection="1">
      <alignment horizontal="center" vertical="top" wrapText="1"/>
      <protection hidden="1"/>
    </xf>
    <xf numFmtId="0" fontId="10" fillId="7" borderId="9" xfId="0" applyFont="1" applyFill="1" applyBorder="1" applyAlignment="1" applyProtection="1">
      <alignment horizontal="center" vertical="top" wrapText="1"/>
      <protection hidden="1"/>
    </xf>
    <xf numFmtId="0" fontId="6" fillId="7" borderId="8" xfId="0" applyFont="1" applyFill="1" applyBorder="1" applyAlignment="1" applyProtection="1">
      <alignment horizontal="center" vertical="top" wrapText="1"/>
      <protection hidden="1"/>
    </xf>
    <xf numFmtId="0" fontId="4" fillId="4" borderId="0" xfId="0" applyFont="1" applyFill="1" applyAlignment="1" applyProtection="1">
      <alignment horizontal="left" vertical="top"/>
    </xf>
    <xf numFmtId="3" fontId="11" fillId="0" borderId="5" xfId="0" applyNumberFormat="1" applyFont="1" applyBorder="1" applyAlignment="1" applyProtection="1">
      <alignment horizontal="left" vertical="center" wrapText="1"/>
    </xf>
    <xf numFmtId="0" fontId="4" fillId="4" borderId="8" xfId="0" applyFont="1" applyFill="1" applyBorder="1" applyAlignment="1" applyProtection="1">
      <alignment horizontal="center" vertical="top"/>
      <protection locked="0"/>
    </xf>
    <xf numFmtId="0" fontId="11" fillId="4" borderId="8" xfId="0" applyFont="1" applyFill="1" applyBorder="1" applyAlignment="1" applyProtection="1">
      <alignment horizontal="left" vertical="top" wrapText="1" indent="1"/>
      <protection locked="0"/>
    </xf>
    <xf numFmtId="188" fontId="11" fillId="4" borderId="8" xfId="1" applyNumberFormat="1" applyFont="1" applyFill="1" applyBorder="1" applyAlignment="1" applyProtection="1">
      <alignment horizontal="center" vertical="top" wrapText="1"/>
      <protection locked="0"/>
    </xf>
    <xf numFmtId="187" fontId="4" fillId="4" borderId="8" xfId="1" applyFont="1" applyFill="1" applyBorder="1" applyAlignment="1" applyProtection="1">
      <alignment horizontal="center" vertical="top" wrapText="1"/>
      <protection locked="0"/>
    </xf>
    <xf numFmtId="187" fontId="4" fillId="4" borderId="8" xfId="3" applyFont="1" applyFill="1" applyBorder="1" applyAlignment="1" applyProtection="1">
      <alignment horizontal="center" vertical="top" wrapText="1"/>
      <protection locked="0"/>
    </xf>
    <xf numFmtId="187" fontId="9" fillId="0" borderId="10" xfId="1" applyFont="1" applyFill="1" applyBorder="1" applyAlignment="1" applyProtection="1">
      <alignment horizontal="center" vertical="center" wrapText="1"/>
      <protection locked="0"/>
    </xf>
    <xf numFmtId="0" fontId="12" fillId="0" borderId="8" xfId="0" applyFont="1" applyBorder="1" applyAlignment="1" applyProtection="1">
      <alignment horizontal="center" vertical="top" wrapText="1"/>
      <protection locked="0"/>
    </xf>
    <xf numFmtId="4" fontId="4" fillId="4" borderId="8" xfId="0" applyNumberFormat="1" applyFont="1" applyFill="1" applyBorder="1" applyAlignment="1" applyProtection="1">
      <alignment horizontal="center" vertical="top" wrapText="1"/>
      <protection hidden="1"/>
    </xf>
    <xf numFmtId="189" fontId="4" fillId="4" borderId="8" xfId="0" applyNumberFormat="1" applyFont="1" applyFill="1" applyBorder="1" applyAlignment="1" applyProtection="1">
      <alignment horizontal="center" vertical="top" wrapText="1"/>
      <protection hidden="1"/>
    </xf>
    <xf numFmtId="0" fontId="13" fillId="4" borderId="8" xfId="0" applyFont="1" applyFill="1" applyBorder="1" applyAlignment="1" applyProtection="1">
      <alignment horizontal="center" vertical="top" wrapText="1"/>
      <protection hidden="1"/>
    </xf>
    <xf numFmtId="4" fontId="4" fillId="4" borderId="8" xfId="0" applyNumberFormat="1" applyFont="1" applyFill="1" applyBorder="1" applyAlignment="1" applyProtection="1">
      <alignment horizontal="right" vertical="top" wrapText="1"/>
      <protection hidden="1"/>
    </xf>
    <xf numFmtId="0" fontId="4" fillId="4" borderId="9" xfId="0" applyFont="1" applyFill="1" applyBorder="1" applyAlignment="1" applyProtection="1">
      <alignment horizontal="center" vertical="top" wrapText="1"/>
      <protection hidden="1"/>
    </xf>
    <xf numFmtId="0" fontId="9" fillId="8" borderId="8" xfId="0" applyFont="1" applyFill="1" applyBorder="1" applyAlignment="1" applyProtection="1">
      <alignment horizontal="center" vertical="center" wrapText="1"/>
    </xf>
    <xf numFmtId="0" fontId="14" fillId="4" borderId="8" xfId="0" applyFont="1" applyFill="1" applyBorder="1" applyAlignment="1" applyProtection="1">
      <alignment horizontal="left" vertical="top" wrapText="1" indent="1"/>
      <protection locked="0"/>
    </xf>
    <xf numFmtId="187" fontId="9" fillId="4" borderId="10" xfId="1" applyFont="1" applyFill="1" applyBorder="1" applyAlignment="1" applyProtection="1">
      <alignment horizontal="center" vertical="center" wrapText="1"/>
      <protection locked="0"/>
    </xf>
    <xf numFmtId="3" fontId="11" fillId="0" borderId="8" xfId="0" applyNumberFormat="1" applyFont="1" applyBorder="1" applyAlignment="1" applyProtection="1">
      <alignment horizontal="center" vertical="top" wrapText="1"/>
    </xf>
    <xf numFmtId="0" fontId="4" fillId="9" borderId="8" xfId="0" applyFont="1" applyFill="1" applyBorder="1" applyAlignment="1" applyProtection="1">
      <alignment horizontal="left" vertical="top"/>
      <protection locked="0"/>
    </xf>
    <xf numFmtId="187" fontId="4" fillId="4" borderId="11" xfId="1" applyFont="1" applyFill="1" applyBorder="1" applyAlignment="1" applyProtection="1">
      <alignment horizontal="center" vertical="top" wrapText="1"/>
      <protection locked="0"/>
    </xf>
    <xf numFmtId="187" fontId="4" fillId="4" borderId="11" xfId="3" applyFont="1" applyFill="1" applyBorder="1" applyAlignment="1" applyProtection="1">
      <alignment horizontal="center" vertical="top" wrapText="1"/>
      <protection locked="0"/>
    </xf>
    <xf numFmtId="0" fontId="12" fillId="0" borderId="11" xfId="0" applyFont="1" applyBorder="1" applyAlignment="1" applyProtection="1">
      <alignment horizontal="center" vertical="top" wrapText="1"/>
      <protection locked="0"/>
    </xf>
    <xf numFmtId="188" fontId="11" fillId="4" borderId="12" xfId="1" applyNumberFormat="1" applyFont="1" applyFill="1" applyBorder="1" applyAlignment="1" applyProtection="1">
      <alignment horizontal="center" vertical="top" wrapText="1"/>
      <protection locked="0"/>
    </xf>
    <xf numFmtId="187" fontId="4" fillId="4" borderId="1" xfId="1" applyFont="1" applyFill="1" applyBorder="1" applyAlignment="1" applyProtection="1">
      <alignment horizontal="center" vertical="top" wrapText="1"/>
      <protection locked="0"/>
    </xf>
    <xf numFmtId="187" fontId="9" fillId="0" borderId="1" xfId="1" applyFont="1" applyFill="1" applyBorder="1" applyAlignment="1" applyProtection="1">
      <alignment horizontal="center" vertical="center" wrapText="1"/>
      <protection locked="0"/>
    </xf>
    <xf numFmtId="187" fontId="4" fillId="0" borderId="1" xfId="1" applyFont="1" applyFill="1" applyBorder="1" applyAlignment="1" applyProtection="1">
      <alignment horizontal="center" vertical="top" wrapText="1"/>
      <protection locked="0"/>
    </xf>
    <xf numFmtId="0" fontId="12" fillId="0" borderId="1" xfId="0" applyFont="1" applyBorder="1" applyAlignment="1" applyProtection="1">
      <alignment horizontal="center" vertical="top" wrapText="1"/>
      <protection locked="0"/>
    </xf>
    <xf numFmtId="0" fontId="4" fillId="4" borderId="8" xfId="0" applyFont="1" applyFill="1" applyBorder="1" applyAlignment="1" applyProtection="1">
      <alignment horizontal="left" vertical="top"/>
      <protection locked="0"/>
    </xf>
    <xf numFmtId="0" fontId="15" fillId="4" borderId="8" xfId="0" applyFont="1" applyFill="1" applyBorder="1" applyAlignment="1" applyProtection="1">
      <alignment horizontal="left" vertical="top" wrapText="1" indent="1"/>
      <protection locked="0"/>
    </xf>
    <xf numFmtId="188" fontId="9" fillId="10" borderId="12" xfId="1" applyNumberFormat="1" applyFont="1" applyFill="1" applyBorder="1" applyAlignment="1" applyProtection="1">
      <alignment horizontal="center" vertical="top" wrapText="1"/>
      <protection locked="0"/>
    </xf>
    <xf numFmtId="187" fontId="6" fillId="0" borderId="1" xfId="1" applyFont="1" applyFill="1" applyBorder="1" applyAlignment="1" applyProtection="1">
      <alignment horizontal="center" vertical="top" wrapText="1"/>
      <protection locked="0"/>
    </xf>
    <xf numFmtId="0" fontId="12" fillId="11" borderId="1" xfId="0" applyFont="1" applyFill="1" applyBorder="1" applyAlignment="1" applyProtection="1">
      <alignment horizontal="center" vertical="top" wrapText="1"/>
      <protection locked="0"/>
    </xf>
    <xf numFmtId="187" fontId="6" fillId="10" borderId="8" xfId="1" applyFont="1" applyFill="1" applyBorder="1" applyAlignment="1" applyProtection="1">
      <alignment horizontal="center" vertical="top" wrapText="1"/>
      <protection hidden="1"/>
    </xf>
    <xf numFmtId="189" fontId="6" fillId="10" borderId="8" xfId="0" applyNumberFormat="1" applyFont="1" applyFill="1" applyBorder="1" applyAlignment="1" applyProtection="1">
      <alignment horizontal="center" vertical="top" wrapText="1"/>
      <protection hidden="1"/>
    </xf>
    <xf numFmtId="0" fontId="13" fillId="10" borderId="8" xfId="0" applyFont="1" applyFill="1" applyBorder="1" applyAlignment="1" applyProtection="1">
      <alignment horizontal="center" vertical="top" wrapText="1"/>
      <protection hidden="1"/>
    </xf>
    <xf numFmtId="0" fontId="4" fillId="10" borderId="8" xfId="0" applyFont="1" applyFill="1" applyBorder="1" applyAlignment="1" applyProtection="1">
      <alignment horizontal="center" vertical="top" wrapText="1"/>
      <protection hidden="1"/>
    </xf>
    <xf numFmtId="0" fontId="4" fillId="10" borderId="8" xfId="0" applyFont="1" applyFill="1" applyBorder="1" applyAlignment="1" applyProtection="1">
      <alignment horizontal="left" vertical="top" wrapText="1"/>
      <protection hidden="1"/>
    </xf>
    <xf numFmtId="0" fontId="11" fillId="10" borderId="8" xfId="0" applyFont="1" applyFill="1" applyBorder="1" applyProtection="1">
      <protection locked="0"/>
    </xf>
    <xf numFmtId="187" fontId="4" fillId="0" borderId="8" xfId="1" applyFont="1" applyFill="1" applyBorder="1" applyAlignment="1" applyProtection="1">
      <alignment horizontal="center"/>
      <protection locked="0"/>
    </xf>
    <xf numFmtId="0" fontId="4" fillId="0" borderId="8" xfId="0" applyFont="1" applyBorder="1" applyProtection="1">
      <protection locked="0"/>
    </xf>
    <xf numFmtId="187" fontId="9" fillId="4" borderId="8" xfId="1" applyFont="1" applyFill="1" applyBorder="1" applyAlignment="1" applyProtection="1">
      <alignment horizontal="center"/>
      <protection locked="0"/>
    </xf>
    <xf numFmtId="0" fontId="11" fillId="4" borderId="8" xfId="0" applyFont="1" applyFill="1" applyBorder="1" applyProtection="1">
      <protection locked="0"/>
    </xf>
    <xf numFmtId="0" fontId="12" fillId="11" borderId="8" xfId="0" applyFont="1" applyFill="1" applyBorder="1" applyAlignment="1" applyProtection="1">
      <alignment horizontal="center"/>
      <protection locked="0"/>
    </xf>
    <xf numFmtId="0" fontId="16" fillId="7" borderId="10" xfId="2" applyFont="1" applyFill="1" applyBorder="1" applyAlignment="1" applyProtection="1">
      <alignment horizontal="left" vertical="center" wrapText="1"/>
      <protection locked="0"/>
    </xf>
    <xf numFmtId="0" fontId="16" fillId="7" borderId="7" xfId="2" applyFont="1" applyFill="1" applyBorder="1" applyAlignment="1" applyProtection="1">
      <alignment horizontal="left" vertical="center" wrapText="1"/>
      <protection locked="0"/>
    </xf>
    <xf numFmtId="0" fontId="16" fillId="7" borderId="13" xfId="2" applyFont="1" applyFill="1" applyBorder="1" applyAlignment="1" applyProtection="1">
      <alignment horizontal="left" vertical="center" wrapText="1"/>
      <protection locked="0"/>
    </xf>
    <xf numFmtId="188" fontId="9" fillId="7" borderId="8" xfId="1" applyNumberFormat="1" applyFont="1" applyFill="1" applyBorder="1" applyAlignment="1" applyProtection="1">
      <alignment horizontal="center" vertical="top" wrapText="1"/>
      <protection locked="0"/>
    </xf>
    <xf numFmtId="187" fontId="9" fillId="7" borderId="10" xfId="1" applyFont="1" applyFill="1" applyBorder="1" applyAlignment="1" applyProtection="1">
      <alignment horizontal="center" vertical="center" wrapText="1"/>
      <protection locked="0"/>
    </xf>
    <xf numFmtId="0" fontId="9" fillId="7" borderId="10" xfId="0" applyNumberFormat="1" applyFont="1" applyFill="1" applyBorder="1" applyAlignment="1" applyProtection="1">
      <alignment horizontal="center" vertical="center" wrapText="1"/>
      <protection locked="0"/>
    </xf>
    <xf numFmtId="189" fontId="6" fillId="7" borderId="8" xfId="0" applyNumberFormat="1" applyFont="1" applyFill="1" applyBorder="1" applyAlignment="1" applyProtection="1">
      <alignment horizontal="center" vertical="top" wrapText="1"/>
      <protection hidden="1"/>
    </xf>
    <xf numFmtId="0" fontId="10" fillId="7" borderId="8" xfId="0" applyFont="1" applyFill="1" applyBorder="1" applyAlignment="1" applyProtection="1">
      <alignment horizontal="center" vertical="top" wrapText="1"/>
      <protection hidden="1"/>
    </xf>
    <xf numFmtId="0" fontId="6" fillId="7" borderId="8" xfId="0" applyFont="1" applyFill="1" applyBorder="1" applyAlignment="1" applyProtection="1">
      <alignment horizontal="left" vertical="top" wrapText="1"/>
      <protection hidden="1"/>
    </xf>
    <xf numFmtId="187" fontId="4" fillId="4" borderId="11" xfId="1" applyFont="1" applyFill="1" applyBorder="1" applyAlignment="1" applyProtection="1">
      <alignment horizontal="right" vertical="top" wrapText="1"/>
      <protection locked="0"/>
    </xf>
    <xf numFmtId="187" fontId="12" fillId="4" borderId="8" xfId="1" applyFont="1" applyFill="1" applyBorder="1" applyAlignment="1" applyProtection="1">
      <alignment horizontal="center" vertical="top" wrapText="1"/>
      <protection locked="0"/>
    </xf>
    <xf numFmtId="0" fontId="14" fillId="4" borderId="8" xfId="0" applyFont="1" applyFill="1" applyBorder="1" applyAlignment="1" applyProtection="1">
      <alignment horizontal="left" vertical="top" wrapText="1"/>
      <protection locked="0"/>
    </xf>
    <xf numFmtId="187" fontId="4" fillId="4" borderId="10" xfId="1" applyFont="1" applyFill="1" applyBorder="1" applyAlignment="1" applyProtection="1">
      <alignment horizontal="center" vertical="top" wrapTex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187" fontId="9" fillId="7" borderId="10" xfId="1" applyFont="1" applyFill="1" applyBorder="1" applyAlignment="1" applyProtection="1">
      <alignment horizontal="center" vertical="top" wrapText="1"/>
      <protection locked="0"/>
    </xf>
    <xf numFmtId="187" fontId="4" fillId="0" borderId="8" xfId="1" applyFont="1" applyFill="1" applyBorder="1" applyAlignment="1" applyProtection="1">
      <alignment horizontal="center" vertical="top" wrapText="1"/>
      <protection locked="0"/>
    </xf>
    <xf numFmtId="0" fontId="9" fillId="12" borderId="10" xfId="0" applyFont="1" applyFill="1" applyBorder="1" applyAlignment="1" applyProtection="1">
      <alignment horizontal="center"/>
      <protection locked="0"/>
    </xf>
    <xf numFmtId="0" fontId="9" fillId="12" borderId="7" xfId="0" applyFont="1" applyFill="1" applyBorder="1" applyAlignment="1" applyProtection="1">
      <alignment horizontal="center"/>
      <protection locked="0"/>
    </xf>
    <xf numFmtId="0" fontId="9" fillId="12" borderId="13" xfId="0" applyFont="1" applyFill="1" applyBorder="1" applyAlignment="1" applyProtection="1">
      <alignment horizontal="center"/>
      <protection locked="0"/>
    </xf>
    <xf numFmtId="2" fontId="9" fillId="12" borderId="8" xfId="0" applyNumberFormat="1" applyFont="1" applyFill="1" applyBorder="1" applyAlignment="1" applyProtection="1">
      <alignment horizontal="center" vertical="top" wrapText="1"/>
      <protection locked="0"/>
    </xf>
    <xf numFmtId="187" fontId="9" fillId="12" borderId="12" xfId="1" applyFont="1" applyFill="1" applyBorder="1" applyAlignment="1" applyProtection="1">
      <alignment horizontal="center"/>
      <protection locked="0"/>
    </xf>
    <xf numFmtId="187" fontId="9" fillId="12" borderId="10" xfId="1" applyFont="1" applyFill="1" applyBorder="1" applyAlignment="1" applyProtection="1">
      <alignment horizontal="center" vertical="center" wrapText="1"/>
      <protection locked="0"/>
    </xf>
    <xf numFmtId="0" fontId="9" fillId="12" borderId="12" xfId="0" applyNumberFormat="1" applyFont="1" applyFill="1" applyBorder="1" applyAlignment="1" applyProtection="1">
      <alignment horizontal="center"/>
      <protection locked="0"/>
    </xf>
    <xf numFmtId="4" fontId="6" fillId="12" borderId="8" xfId="0" applyNumberFormat="1" applyFont="1" applyFill="1" applyBorder="1" applyAlignment="1" applyProtection="1">
      <alignment horizontal="center" vertical="top" wrapText="1"/>
      <protection hidden="1"/>
    </xf>
    <xf numFmtId="189" fontId="6" fillId="12" borderId="8" xfId="0" applyNumberFormat="1" applyFont="1" applyFill="1" applyBorder="1" applyAlignment="1" applyProtection="1">
      <alignment horizontal="center" vertical="top" wrapText="1"/>
      <protection hidden="1"/>
    </xf>
    <xf numFmtId="0" fontId="10" fillId="12" borderId="8" xfId="0" applyFont="1" applyFill="1" applyBorder="1" applyAlignment="1" applyProtection="1">
      <alignment horizontal="center" vertical="top" wrapText="1"/>
      <protection hidden="1"/>
    </xf>
    <xf numFmtId="0" fontId="6" fillId="12" borderId="8" xfId="0" applyFont="1" applyFill="1" applyBorder="1" applyAlignment="1" applyProtection="1">
      <alignment horizontal="center" vertical="top" wrapText="1"/>
      <protection hidden="1"/>
    </xf>
    <xf numFmtId="0" fontId="17" fillId="9" borderId="8" xfId="0" applyFont="1" applyFill="1" applyBorder="1" applyAlignment="1" applyProtection="1">
      <alignment horizontal="left" vertical="top" wrapText="1" indent="1"/>
      <protection locked="0"/>
    </xf>
    <xf numFmtId="2" fontId="9" fillId="9" borderId="8" xfId="0" applyNumberFormat="1" applyFont="1" applyFill="1" applyBorder="1" applyAlignment="1" applyProtection="1">
      <alignment horizontal="center" vertical="top" wrapText="1"/>
      <protection locked="0"/>
    </xf>
    <xf numFmtId="187" fontId="17" fillId="9" borderId="8" xfId="1" applyFont="1" applyFill="1" applyBorder="1" applyAlignment="1" applyProtection="1">
      <alignment horizontal="center" vertical="top" wrapText="1"/>
      <protection locked="0"/>
    </xf>
    <xf numFmtId="187" fontId="17" fillId="13" borderId="8" xfId="1" applyFont="1" applyFill="1" applyBorder="1" applyAlignment="1" applyProtection="1">
      <alignment horizontal="center" vertical="center" wrapText="1"/>
      <protection locked="0"/>
    </xf>
    <xf numFmtId="187" fontId="17" fillId="13" borderId="10" xfId="1" applyFont="1" applyFill="1" applyBorder="1" applyAlignment="1" applyProtection="1">
      <alignment horizontal="center" vertical="center" wrapText="1"/>
      <protection locked="0"/>
    </xf>
    <xf numFmtId="0" fontId="17" fillId="9" borderId="8" xfId="0" applyNumberFormat="1" applyFont="1" applyFill="1" applyBorder="1" applyAlignment="1" applyProtection="1">
      <alignment horizontal="center" vertical="top" wrapText="1"/>
      <protection locked="0"/>
    </xf>
    <xf numFmtId="4" fontId="18" fillId="14" borderId="8" xfId="0" applyNumberFormat="1" applyFont="1" applyFill="1" applyBorder="1" applyAlignment="1" applyProtection="1">
      <alignment horizontal="center" vertical="top" wrapText="1"/>
      <protection hidden="1"/>
    </xf>
    <xf numFmtId="189" fontId="19" fillId="14" borderId="8" xfId="0" applyNumberFormat="1" applyFont="1" applyFill="1" applyBorder="1" applyAlignment="1" applyProtection="1">
      <alignment horizontal="center" vertical="top" wrapText="1"/>
      <protection hidden="1"/>
    </xf>
    <xf numFmtId="0" fontId="20" fillId="14" borderId="8" xfId="0" applyFont="1" applyFill="1" applyBorder="1" applyAlignment="1" applyProtection="1">
      <alignment horizontal="center" vertical="top" wrapText="1"/>
      <protection hidden="1"/>
    </xf>
    <xf numFmtId="0" fontId="8" fillId="14" borderId="8" xfId="0" applyFont="1" applyFill="1" applyBorder="1" applyAlignment="1" applyProtection="1">
      <alignment horizontal="center" vertical="top" wrapText="1"/>
      <protection hidden="1"/>
    </xf>
    <xf numFmtId="0" fontId="21" fillId="15" borderId="8" xfId="0" applyFont="1" applyFill="1" applyBorder="1" applyAlignment="1" applyProtection="1">
      <alignment horizontal="center" vertical="center"/>
      <protection locked="0"/>
    </xf>
    <xf numFmtId="0" fontId="22" fillId="16" borderId="8" xfId="0" applyFont="1" applyFill="1" applyBorder="1" applyAlignment="1" applyProtection="1">
      <alignment horizontal="left" vertical="top" wrapText="1"/>
      <protection locked="0"/>
    </xf>
    <xf numFmtId="0" fontId="21" fillId="15" borderId="8" xfId="0" applyFont="1" applyFill="1" applyBorder="1" applyAlignment="1" applyProtection="1">
      <alignment horizontal="center" vertical="center" wrapText="1"/>
      <protection locked="0"/>
    </xf>
    <xf numFmtId="0" fontId="23" fillId="11" borderId="8" xfId="0" applyFont="1" applyFill="1" applyBorder="1" applyAlignment="1">
      <alignment horizontal="center" vertical="center" wrapText="1"/>
    </xf>
    <xf numFmtId="0" fontId="23" fillId="11" borderId="8" xfId="0" applyFont="1" applyFill="1" applyBorder="1" applyAlignment="1">
      <alignment horizontal="center" vertical="center"/>
    </xf>
    <xf numFmtId="0" fontId="24" fillId="4" borderId="8" xfId="0" applyFont="1" applyFill="1" applyBorder="1" applyAlignment="1" applyProtection="1">
      <alignment horizontal="center" vertical="center"/>
      <protection locked="0"/>
    </xf>
    <xf numFmtId="189" fontId="24" fillId="4" borderId="8" xfId="0" applyNumberFormat="1" applyFont="1" applyFill="1" applyBorder="1" applyAlignment="1" applyProtection="1">
      <alignment horizontal="center" vertical="center"/>
      <protection locked="0"/>
    </xf>
    <xf numFmtId="0" fontId="13" fillId="4" borderId="8" xfId="0" applyFont="1" applyFill="1" applyBorder="1" applyAlignment="1" applyProtection="1">
      <alignment horizontal="center" vertical="center" wrapText="1"/>
      <protection hidden="1"/>
    </xf>
    <xf numFmtId="0" fontId="4" fillId="17" borderId="8" xfId="0" applyFont="1" applyFill="1" applyBorder="1" applyAlignment="1">
      <alignment horizontal="center" vertical="top" wrapText="1"/>
    </xf>
    <xf numFmtId="0" fontId="12" fillId="4" borderId="8" xfId="0" applyFont="1" applyFill="1" applyBorder="1" applyAlignment="1">
      <alignment horizontal="left" vertical="top"/>
    </xf>
    <xf numFmtId="0" fontId="4" fillId="4" borderId="0" xfId="0" applyFont="1" applyFill="1" applyAlignment="1" applyProtection="1">
      <alignment horizontal="left" vertical="top" wrapText="1"/>
      <protection locked="0"/>
    </xf>
    <xf numFmtId="0" fontId="4" fillId="4" borderId="0" xfId="0" applyFont="1" applyFill="1" applyAlignment="1" applyProtection="1">
      <alignment horizontal="center" vertical="center"/>
      <protection locked="0"/>
    </xf>
    <xf numFmtId="0" fontId="4" fillId="4" borderId="0" xfId="0" applyFont="1" applyFill="1" applyAlignment="1" applyProtection="1">
      <alignment horizontal="center" vertical="top"/>
      <protection locked="0"/>
    </xf>
    <xf numFmtId="187" fontId="4" fillId="4" borderId="0" xfId="0" applyNumberFormat="1" applyFont="1" applyFill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21" fillId="4" borderId="1" xfId="0" applyFont="1" applyFill="1" applyBorder="1" applyAlignment="1" applyProtection="1">
      <alignment horizontal="center" vertical="top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horizontal="left" vertical="center"/>
      <protection locked="0"/>
    </xf>
    <xf numFmtId="0" fontId="3" fillId="3" borderId="2" xfId="0" applyFont="1" applyFill="1" applyBorder="1" applyAlignment="1" applyProtection="1">
      <alignment horizontal="left" vertical="top" wrapText="1"/>
      <protection locked="0"/>
    </xf>
    <xf numFmtId="0" fontId="4" fillId="4" borderId="0" xfId="0" applyFont="1" applyFill="1" applyAlignment="1">
      <alignment horizontal="left" vertical="top"/>
    </xf>
    <xf numFmtId="0" fontId="21" fillId="4" borderId="14" xfId="0" applyFont="1" applyFill="1" applyBorder="1" applyAlignment="1" applyProtection="1">
      <alignment horizontal="center" vertical="top"/>
      <protection locked="0"/>
    </xf>
    <xf numFmtId="0" fontId="2" fillId="5" borderId="4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left" vertical="top"/>
      <protection locked="0"/>
    </xf>
    <xf numFmtId="0" fontId="3" fillId="3" borderId="5" xfId="0" applyFont="1" applyFill="1" applyBorder="1" applyAlignment="1" applyProtection="1">
      <alignment horizontal="left" vertical="top" wrapText="1"/>
      <protection locked="0"/>
    </xf>
    <xf numFmtId="0" fontId="18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left" vertical="top" wrapText="1"/>
    </xf>
    <xf numFmtId="0" fontId="8" fillId="3" borderId="12" xfId="2" applyFont="1" applyFill="1" applyBorder="1" applyAlignment="1">
      <alignment horizontal="center" vertical="center" shrinkToFit="1"/>
    </xf>
    <xf numFmtId="0" fontId="8" fillId="3" borderId="1" xfId="2" applyFont="1" applyFill="1" applyBorder="1" applyAlignment="1">
      <alignment horizontal="center" vertical="center" wrapText="1" shrinkToFit="1"/>
    </xf>
    <xf numFmtId="0" fontId="8" fillId="3" borderId="3" xfId="2" applyFont="1" applyFill="1" applyBorder="1" applyAlignment="1">
      <alignment horizontal="center" vertical="center" wrapText="1" shrinkToFit="1"/>
    </xf>
    <xf numFmtId="0" fontId="25" fillId="3" borderId="12" xfId="2" applyFont="1" applyFill="1" applyBorder="1" applyAlignment="1">
      <alignment horizontal="center" vertical="center" wrapText="1" shrinkToFit="1"/>
    </xf>
    <xf numFmtId="0" fontId="8" fillId="3" borderId="10" xfId="2" applyFont="1" applyFill="1" applyBorder="1" applyAlignment="1">
      <alignment horizontal="center" vertical="center" wrapText="1" shrinkToFit="1"/>
    </xf>
    <xf numFmtId="0" fontId="8" fillId="3" borderId="7" xfId="2" applyFont="1" applyFill="1" applyBorder="1" applyAlignment="1">
      <alignment horizontal="center" vertical="center" wrapText="1" shrinkToFit="1"/>
    </xf>
    <xf numFmtId="0" fontId="8" fillId="3" borderId="13" xfId="2" applyFont="1" applyFill="1" applyBorder="1" applyAlignment="1">
      <alignment horizontal="center" vertical="center" wrapText="1" shrinkToFit="1"/>
    </xf>
    <xf numFmtId="0" fontId="8" fillId="3" borderId="12" xfId="2" applyFont="1" applyFill="1" applyBorder="1" applyAlignment="1">
      <alignment horizontal="center" vertical="center" wrapText="1"/>
    </xf>
    <xf numFmtId="0" fontId="8" fillId="3" borderId="12" xfId="2" applyFont="1" applyFill="1" applyBorder="1" applyAlignment="1">
      <alignment horizontal="center" vertical="center" wrapText="1" shrinkToFit="1"/>
    </xf>
    <xf numFmtId="43" fontId="8" fillId="3" borderId="12" xfId="4" applyFont="1" applyFill="1" applyBorder="1" applyAlignment="1">
      <alignment horizontal="center" vertical="center" wrapText="1" shrinkToFit="1"/>
    </xf>
    <xf numFmtId="3" fontId="8" fillId="3" borderId="12" xfId="2" applyNumberFormat="1" applyFont="1" applyFill="1" applyBorder="1" applyAlignment="1">
      <alignment horizontal="center" vertical="center" wrapText="1" shrinkToFit="1"/>
    </xf>
    <xf numFmtId="49" fontId="8" fillId="3" borderId="12" xfId="2" applyNumberFormat="1" applyFont="1" applyFill="1" applyBorder="1" applyAlignment="1">
      <alignment horizontal="center" vertical="center" shrinkToFit="1"/>
    </xf>
    <xf numFmtId="0" fontId="8" fillId="3" borderId="15" xfId="2" applyFont="1" applyFill="1" applyBorder="1" applyAlignment="1">
      <alignment horizontal="center" vertical="center" shrinkToFit="1"/>
    </xf>
    <xf numFmtId="0" fontId="8" fillId="3" borderId="14" xfId="2" applyFont="1" applyFill="1" applyBorder="1" applyAlignment="1">
      <alignment horizontal="center" vertical="center" wrapText="1" shrinkToFit="1"/>
    </xf>
    <xf numFmtId="0" fontId="8" fillId="3" borderId="16" xfId="2" applyFont="1" applyFill="1" applyBorder="1" applyAlignment="1">
      <alignment horizontal="center" vertical="center" wrapText="1" shrinkToFit="1"/>
    </xf>
    <xf numFmtId="0" fontId="25" fillId="3" borderId="15" xfId="2" applyFont="1" applyFill="1" applyBorder="1" applyAlignment="1">
      <alignment horizontal="center" vertical="center" wrapText="1" shrinkToFit="1"/>
    </xf>
    <xf numFmtId="0" fontId="25" fillId="3" borderId="1" xfId="2" applyFont="1" applyFill="1" applyBorder="1" applyAlignment="1">
      <alignment horizontal="center" vertical="center" wrapText="1" shrinkToFit="1"/>
    </xf>
    <xf numFmtId="0" fontId="8" fillId="3" borderId="12" xfId="2" applyFont="1" applyFill="1" applyBorder="1" applyAlignment="1">
      <alignment horizontal="center" vertical="center" wrapText="1" shrinkToFit="1"/>
    </xf>
    <xf numFmtId="0" fontId="25" fillId="3" borderId="1" xfId="2" applyFont="1" applyFill="1" applyBorder="1" applyAlignment="1">
      <alignment horizontal="center" vertical="top" wrapText="1" shrinkToFit="1"/>
    </xf>
    <xf numFmtId="0" fontId="8" fillId="3" borderId="15" xfId="2" applyFont="1" applyFill="1" applyBorder="1" applyAlignment="1">
      <alignment horizontal="center" vertical="center" wrapText="1"/>
    </xf>
    <xf numFmtId="0" fontId="8" fillId="3" borderId="15" xfId="2" applyFont="1" applyFill="1" applyBorder="1" applyAlignment="1">
      <alignment horizontal="center" vertical="center" wrapText="1" shrinkToFit="1"/>
    </xf>
    <xf numFmtId="43" fontId="8" fillId="3" borderId="15" xfId="4" applyFont="1" applyFill="1" applyBorder="1" applyAlignment="1">
      <alignment horizontal="center" vertical="center" wrapText="1" shrinkToFit="1"/>
    </xf>
    <xf numFmtId="3" fontId="8" fillId="3" borderId="15" xfId="2" applyNumberFormat="1" applyFont="1" applyFill="1" applyBorder="1" applyAlignment="1">
      <alignment horizontal="center" vertical="center" wrapText="1" shrinkToFit="1"/>
    </xf>
    <xf numFmtId="49" fontId="8" fillId="3" borderId="15" xfId="2" applyNumberFormat="1" applyFont="1" applyFill="1" applyBorder="1" applyAlignment="1">
      <alignment horizontal="center" vertical="center" shrinkToFit="1"/>
    </xf>
    <xf numFmtId="0" fontId="12" fillId="4" borderId="12" xfId="2" applyFont="1" applyFill="1" applyBorder="1" applyAlignment="1">
      <alignment horizontal="center" vertical="top" shrinkToFit="1"/>
    </xf>
    <xf numFmtId="0" fontId="4" fillId="4" borderId="1" xfId="0" applyFont="1" applyFill="1" applyBorder="1" applyAlignment="1">
      <alignment horizontal="left" vertical="top" wrapText="1"/>
    </xf>
    <xf numFmtId="0" fontId="4" fillId="4" borderId="3" xfId="0" applyFont="1" applyFill="1" applyBorder="1" applyAlignment="1">
      <alignment horizontal="left" vertical="top" wrapText="1"/>
    </xf>
    <xf numFmtId="0" fontId="4" fillId="4" borderId="12" xfId="0" applyFont="1" applyFill="1" applyBorder="1" applyAlignment="1">
      <alignment horizontal="center" vertical="top" wrapText="1"/>
    </xf>
    <xf numFmtId="0" fontId="4" fillId="4" borderId="15" xfId="0" applyFont="1" applyFill="1" applyBorder="1" applyAlignment="1">
      <alignment vertical="top" wrapText="1"/>
    </xf>
    <xf numFmtId="0" fontId="4" fillId="4" borderId="15" xfId="0" applyFont="1" applyFill="1" applyBorder="1" applyAlignment="1">
      <alignment horizontal="left" vertical="top" wrapText="1"/>
    </xf>
    <xf numFmtId="4" fontId="4" fillId="4" borderId="17" xfId="0" applyNumberFormat="1" applyFont="1" applyFill="1" applyBorder="1" applyAlignment="1">
      <alignment horizontal="right" vertical="top"/>
    </xf>
    <xf numFmtId="0" fontId="4" fillId="4" borderId="18" xfId="0" applyFont="1" applyFill="1" applyBorder="1" applyAlignment="1">
      <alignment vertical="top" wrapText="1"/>
    </xf>
    <xf numFmtId="0" fontId="4" fillId="4" borderId="12" xfId="0" applyFont="1" applyFill="1" applyBorder="1" applyAlignment="1">
      <alignment vertical="top" wrapText="1"/>
    </xf>
    <xf numFmtId="4" fontId="4" fillId="4" borderId="0" xfId="0" applyNumberFormat="1" applyFont="1" applyFill="1" applyAlignment="1">
      <alignment horizontal="left" vertical="top"/>
    </xf>
    <xf numFmtId="0" fontId="12" fillId="4" borderId="15" xfId="2" applyFont="1" applyFill="1" applyBorder="1" applyAlignment="1">
      <alignment horizontal="center" vertical="top" shrinkToFit="1"/>
    </xf>
    <xf numFmtId="0" fontId="4" fillId="4" borderId="14" xfId="0" applyFont="1" applyFill="1" applyBorder="1" applyAlignment="1">
      <alignment horizontal="left" vertical="top" wrapText="1"/>
    </xf>
    <xf numFmtId="0" fontId="4" fillId="4" borderId="16" xfId="0" applyFont="1" applyFill="1" applyBorder="1" applyAlignment="1">
      <alignment horizontal="left" vertical="top" wrapText="1"/>
    </xf>
    <xf numFmtId="0" fontId="4" fillId="4" borderId="15" xfId="0" applyFont="1" applyFill="1" applyBorder="1" applyAlignment="1">
      <alignment horizontal="center" vertical="top" wrapText="1"/>
    </xf>
    <xf numFmtId="0" fontId="4" fillId="4" borderId="19" xfId="0" applyFont="1" applyFill="1" applyBorder="1" applyAlignment="1">
      <alignment vertical="top" wrapText="1"/>
    </xf>
    <xf numFmtId="0" fontId="4" fillId="4" borderId="20" xfId="0" applyFont="1" applyFill="1" applyBorder="1" applyAlignment="1">
      <alignment horizontal="left" vertical="top" wrapText="1"/>
    </xf>
    <xf numFmtId="4" fontId="4" fillId="4" borderId="21" xfId="0" applyNumberFormat="1" applyFont="1" applyFill="1" applyBorder="1" applyAlignment="1">
      <alignment horizontal="right" vertical="top"/>
    </xf>
    <xf numFmtId="0" fontId="4" fillId="4" borderId="22" xfId="0" applyFont="1" applyFill="1" applyBorder="1" applyAlignment="1">
      <alignment vertical="top" wrapText="1"/>
    </xf>
    <xf numFmtId="0" fontId="4" fillId="4" borderId="15" xfId="0" applyFont="1" applyFill="1" applyBorder="1" applyAlignment="1">
      <alignment vertical="top" wrapText="1"/>
    </xf>
    <xf numFmtId="4" fontId="4" fillId="4" borderId="23" xfId="0" applyNumberFormat="1" applyFont="1" applyFill="1" applyBorder="1" applyAlignment="1">
      <alignment horizontal="right" vertical="top"/>
    </xf>
    <xf numFmtId="0" fontId="4" fillId="4" borderId="23" xfId="0" applyFont="1" applyFill="1" applyBorder="1" applyAlignment="1">
      <alignment horizontal="left" vertical="top" wrapText="1"/>
    </xf>
    <xf numFmtId="0" fontId="4" fillId="4" borderId="24" xfId="0" applyFont="1" applyFill="1" applyBorder="1" applyAlignment="1">
      <alignment vertical="top" wrapText="1"/>
    </xf>
    <xf numFmtId="0" fontId="12" fillId="4" borderId="9" xfId="2" applyFont="1" applyFill="1" applyBorder="1" applyAlignment="1">
      <alignment horizontal="center" vertical="top" shrinkToFit="1"/>
    </xf>
    <xf numFmtId="0" fontId="4" fillId="4" borderId="4" xfId="0" applyFont="1" applyFill="1" applyBorder="1" applyAlignment="1">
      <alignment horizontal="left" vertical="top" wrapText="1"/>
    </xf>
    <xf numFmtId="0" fontId="4" fillId="4" borderId="6" xfId="0" applyFont="1" applyFill="1" applyBorder="1" applyAlignment="1">
      <alignment horizontal="left" vertical="top" wrapText="1"/>
    </xf>
    <xf numFmtId="0" fontId="4" fillId="4" borderId="9" xfId="0" applyFont="1" applyFill="1" applyBorder="1" applyAlignment="1">
      <alignment horizontal="center" vertical="top" wrapText="1"/>
    </xf>
    <xf numFmtId="0" fontId="4" fillId="4" borderId="9" xfId="0" applyFont="1" applyFill="1" applyBorder="1" applyAlignment="1">
      <alignment vertical="top" wrapText="1"/>
    </xf>
    <xf numFmtId="0" fontId="4" fillId="4" borderId="25" xfId="0" applyFont="1" applyFill="1" applyBorder="1" applyAlignment="1">
      <alignment horizontal="left" vertical="top" wrapText="1"/>
    </xf>
    <xf numFmtId="4" fontId="4" fillId="4" borderId="26" xfId="0" applyNumberFormat="1" applyFont="1" applyFill="1" applyBorder="1" applyAlignment="1">
      <alignment horizontal="right" vertical="top"/>
    </xf>
    <xf numFmtId="0" fontId="4" fillId="4" borderId="27" xfId="0" applyFont="1" applyFill="1" applyBorder="1" applyAlignment="1">
      <alignment vertical="top" wrapText="1"/>
    </xf>
    <xf numFmtId="0" fontId="4" fillId="4" borderId="9" xfId="0" applyFont="1" applyFill="1" applyBorder="1" applyAlignment="1">
      <alignment vertical="top" wrapText="1"/>
    </xf>
    <xf numFmtId="0" fontId="4" fillId="4" borderId="28" xfId="0" applyFont="1" applyFill="1" applyBorder="1" applyAlignment="1">
      <alignment horizontal="left" vertical="top" wrapText="1"/>
    </xf>
    <xf numFmtId="0" fontId="4" fillId="4" borderId="3" xfId="0" applyFont="1" applyFill="1" applyBorder="1" applyAlignment="1">
      <alignment vertical="top" wrapText="1"/>
    </xf>
    <xf numFmtId="4" fontId="4" fillId="4" borderId="19" xfId="0" applyNumberFormat="1" applyFont="1" applyFill="1" applyBorder="1" applyAlignment="1">
      <alignment horizontal="right" vertical="top"/>
    </xf>
    <xf numFmtId="0" fontId="4" fillId="4" borderId="16" xfId="0" applyFont="1" applyFill="1" applyBorder="1" applyAlignment="1">
      <alignment vertical="top" wrapText="1"/>
    </xf>
    <xf numFmtId="4" fontId="4" fillId="4" borderId="29" xfId="0" applyNumberFormat="1" applyFont="1" applyFill="1" applyBorder="1" applyAlignment="1">
      <alignment horizontal="right" vertical="top"/>
    </xf>
    <xf numFmtId="0" fontId="4" fillId="0" borderId="0" xfId="0" applyFont="1" applyAlignment="1">
      <alignment horizontal="left" vertical="top"/>
    </xf>
    <xf numFmtId="4" fontId="4" fillId="4" borderId="30" xfId="0" applyNumberFormat="1" applyFont="1" applyFill="1" applyBorder="1" applyAlignment="1">
      <alignment horizontal="right" vertical="top"/>
    </xf>
    <xf numFmtId="4" fontId="4" fillId="4" borderId="31" xfId="0" applyNumberFormat="1" applyFont="1" applyFill="1" applyBorder="1" applyAlignment="1">
      <alignment horizontal="right" vertical="top"/>
    </xf>
    <xf numFmtId="0" fontId="4" fillId="4" borderId="32" xfId="0" applyFont="1" applyFill="1" applyBorder="1" applyAlignment="1">
      <alignment vertical="top" wrapText="1"/>
    </xf>
    <xf numFmtId="0" fontId="4" fillId="4" borderId="32" xfId="0" applyFont="1" applyFill="1" applyBorder="1" applyAlignment="1">
      <alignment horizontal="left" vertical="top" wrapText="1"/>
    </xf>
    <xf numFmtId="4" fontId="4" fillId="4" borderId="33" xfId="0" applyNumberFormat="1" applyFont="1" applyFill="1" applyBorder="1" applyAlignment="1">
      <alignment horizontal="right" vertical="top"/>
    </xf>
    <xf numFmtId="0" fontId="4" fillId="4" borderId="6" xfId="0" applyFont="1" applyFill="1" applyBorder="1" applyAlignment="1">
      <alignment vertical="top" wrapText="1"/>
    </xf>
    <xf numFmtId="4" fontId="4" fillId="4" borderId="34" xfId="0" applyNumberFormat="1" applyFont="1" applyFill="1" applyBorder="1" applyAlignment="1">
      <alignment horizontal="right" vertical="top"/>
    </xf>
    <xf numFmtId="0" fontId="4" fillId="4" borderId="24" xfId="0" applyFont="1" applyFill="1" applyBorder="1" applyAlignment="1">
      <alignment horizontal="left" vertical="top" wrapText="1"/>
    </xf>
    <xf numFmtId="4" fontId="4" fillId="4" borderId="35" xfId="0" applyNumberFormat="1" applyFont="1" applyFill="1" applyBorder="1" applyAlignment="1">
      <alignment horizontal="right" vertical="top"/>
    </xf>
    <xf numFmtId="4" fontId="4" fillId="4" borderId="36" xfId="0" applyNumberFormat="1" applyFont="1" applyFill="1" applyBorder="1" applyAlignment="1">
      <alignment horizontal="right" vertical="top"/>
    </xf>
    <xf numFmtId="4" fontId="4" fillId="4" borderId="37" xfId="0" applyNumberFormat="1" applyFont="1" applyFill="1" applyBorder="1" applyAlignment="1">
      <alignment horizontal="right" vertical="top"/>
    </xf>
    <xf numFmtId="4" fontId="4" fillId="4" borderId="38" xfId="0" applyNumberFormat="1" applyFont="1" applyFill="1" applyBorder="1" applyAlignment="1">
      <alignment horizontal="right" vertical="top"/>
    </xf>
    <xf numFmtId="4" fontId="4" fillId="4" borderId="39" xfId="0" applyNumberFormat="1" applyFont="1" applyFill="1" applyBorder="1" applyAlignment="1">
      <alignment horizontal="right" vertical="top"/>
    </xf>
    <xf numFmtId="4" fontId="4" fillId="4" borderId="40" xfId="0" applyNumberFormat="1" applyFont="1" applyFill="1" applyBorder="1" applyAlignment="1">
      <alignment horizontal="right" vertical="top"/>
    </xf>
    <xf numFmtId="4" fontId="4" fillId="4" borderId="24" xfId="0" applyNumberFormat="1" applyFont="1" applyFill="1" applyBorder="1" applyAlignment="1">
      <alignment horizontal="right" vertical="top"/>
    </xf>
    <xf numFmtId="0" fontId="4" fillId="4" borderId="9" xfId="0" applyFont="1" applyFill="1" applyBorder="1" applyAlignment="1">
      <alignment horizontal="left" vertical="top" wrapText="1"/>
    </xf>
    <xf numFmtId="4" fontId="4" fillId="4" borderId="41" xfId="0" applyNumberFormat="1" applyFont="1" applyFill="1" applyBorder="1" applyAlignment="1">
      <alignment horizontal="right" vertical="top"/>
    </xf>
    <xf numFmtId="0" fontId="4" fillId="4" borderId="42" xfId="0" applyFont="1" applyFill="1" applyBorder="1" applyAlignment="1">
      <alignment vertical="top" wrapText="1"/>
    </xf>
    <xf numFmtId="4" fontId="4" fillId="4" borderId="43" xfId="0" applyNumberFormat="1" applyFont="1" applyFill="1" applyBorder="1" applyAlignment="1">
      <alignment horizontal="right" vertical="top"/>
    </xf>
    <xf numFmtId="4" fontId="4" fillId="4" borderId="44" xfId="0" applyNumberFormat="1" applyFont="1" applyFill="1" applyBorder="1" applyAlignment="1">
      <alignment horizontal="right" vertical="top"/>
    </xf>
    <xf numFmtId="4" fontId="4" fillId="4" borderId="45" xfId="0" applyNumberFormat="1" applyFont="1" applyFill="1" applyBorder="1" applyAlignment="1">
      <alignment horizontal="right" vertical="top"/>
    </xf>
    <xf numFmtId="0" fontId="4" fillId="4" borderId="46" xfId="0" applyFont="1" applyFill="1" applyBorder="1" applyAlignment="1">
      <alignment horizontal="left" vertical="top" wrapText="1"/>
    </xf>
    <xf numFmtId="0" fontId="4" fillId="4" borderId="3" xfId="0" applyFont="1" applyFill="1" applyBorder="1" applyAlignment="1">
      <alignment horizontal="center" vertical="top" wrapText="1"/>
    </xf>
    <xf numFmtId="0" fontId="4" fillId="4" borderId="42" xfId="0" applyFont="1" applyFill="1" applyBorder="1" applyAlignment="1">
      <alignment horizontal="left" vertical="top" wrapText="1"/>
    </xf>
    <xf numFmtId="0" fontId="4" fillId="4" borderId="47" xfId="0" applyFont="1" applyFill="1" applyBorder="1" applyAlignment="1">
      <alignment horizontal="left" vertical="top" wrapText="1"/>
    </xf>
    <xf numFmtId="0" fontId="4" fillId="4" borderId="16" xfId="0" applyFont="1" applyFill="1" applyBorder="1" applyAlignment="1">
      <alignment horizontal="center" vertical="top" wrapText="1"/>
    </xf>
    <xf numFmtId="0" fontId="4" fillId="4" borderId="19" xfId="0" applyFont="1" applyFill="1" applyBorder="1" applyAlignment="1">
      <alignment horizontal="left" vertical="top" wrapText="1"/>
    </xf>
    <xf numFmtId="0" fontId="4" fillId="18" borderId="0" xfId="0" applyFont="1" applyFill="1" applyAlignment="1">
      <alignment horizontal="left" vertical="top"/>
    </xf>
    <xf numFmtId="0" fontId="4" fillId="4" borderId="48" xfId="0" applyFont="1" applyFill="1" applyBorder="1" applyAlignment="1">
      <alignment horizontal="left" vertical="top" wrapText="1"/>
    </xf>
    <xf numFmtId="0" fontId="4" fillId="4" borderId="6" xfId="0" applyFont="1" applyFill="1" applyBorder="1" applyAlignment="1">
      <alignment horizontal="center" vertical="top" wrapText="1"/>
    </xf>
    <xf numFmtId="4" fontId="4" fillId="4" borderId="20" xfId="0" applyNumberFormat="1" applyFont="1" applyFill="1" applyBorder="1" applyAlignment="1">
      <alignment horizontal="right" vertical="top"/>
    </xf>
    <xf numFmtId="4" fontId="4" fillId="4" borderId="49" xfId="0" applyNumberFormat="1" applyFont="1" applyFill="1" applyBorder="1" applyAlignment="1">
      <alignment horizontal="right" vertical="top"/>
    </xf>
    <xf numFmtId="0" fontId="12" fillId="4" borderId="8" xfId="2" applyFont="1" applyFill="1" applyBorder="1" applyAlignment="1">
      <alignment horizontal="center" vertical="top" shrinkToFit="1"/>
    </xf>
    <xf numFmtId="0" fontId="12" fillId="4" borderId="10" xfId="0" applyFont="1" applyFill="1" applyBorder="1" applyAlignment="1">
      <alignment horizontal="left" vertical="top" wrapText="1"/>
    </xf>
    <xf numFmtId="0" fontId="12" fillId="4" borderId="13" xfId="0" applyFont="1" applyFill="1" applyBorder="1" applyAlignment="1">
      <alignment horizontal="left" vertical="top" wrapText="1"/>
    </xf>
    <xf numFmtId="0" fontId="12" fillId="4" borderId="9" xfId="0" applyFont="1" applyFill="1" applyBorder="1" applyAlignment="1">
      <alignment horizontal="center" vertical="top" wrapText="1"/>
    </xf>
    <xf numFmtId="0" fontId="12" fillId="4" borderId="4" xfId="0" applyFont="1" applyFill="1" applyBorder="1" applyAlignment="1">
      <alignment horizontal="center" vertical="top" wrapText="1"/>
    </xf>
    <xf numFmtId="0" fontId="12" fillId="4" borderId="9" xfId="0" applyFont="1" applyFill="1" applyBorder="1" applyAlignment="1">
      <alignment vertical="top" wrapText="1"/>
    </xf>
    <xf numFmtId="0" fontId="12" fillId="4" borderId="9" xfId="0" applyFont="1" applyFill="1" applyBorder="1" applyAlignment="1">
      <alignment horizontal="left" vertical="top" wrapText="1"/>
    </xf>
    <xf numFmtId="4" fontId="12" fillId="4" borderId="50" xfId="0" applyNumberFormat="1" applyFont="1" applyFill="1" applyBorder="1" applyAlignment="1">
      <alignment horizontal="right" vertical="top"/>
    </xf>
    <xf numFmtId="0" fontId="12" fillId="4" borderId="51" xfId="0" applyFont="1" applyFill="1" applyBorder="1" applyAlignment="1">
      <alignment vertical="top" wrapText="1"/>
    </xf>
    <xf numFmtId="0" fontId="12" fillId="4" borderId="8" xfId="0" applyFont="1" applyFill="1" applyBorder="1" applyAlignment="1">
      <alignment vertical="top" wrapText="1"/>
    </xf>
    <xf numFmtId="9" fontId="4" fillId="4" borderId="24" xfId="0" applyNumberFormat="1" applyFont="1" applyFill="1" applyBorder="1" applyAlignment="1">
      <alignment vertical="top" wrapText="1"/>
    </xf>
    <xf numFmtId="4" fontId="4" fillId="4" borderId="52" xfId="0" applyNumberFormat="1" applyFont="1" applyFill="1" applyBorder="1" applyAlignment="1">
      <alignment horizontal="right" vertical="top"/>
    </xf>
    <xf numFmtId="43" fontId="4" fillId="4" borderId="0" xfId="0" applyNumberFormat="1" applyFont="1" applyFill="1" applyAlignment="1">
      <alignment horizontal="left" vertical="top"/>
    </xf>
    <xf numFmtId="0" fontId="4" fillId="4" borderId="15" xfId="0" applyFont="1" applyFill="1" applyBorder="1" applyAlignment="1">
      <alignment horizontal="center" vertical="top"/>
    </xf>
    <xf numFmtId="0" fontId="4" fillId="4" borderId="9" xfId="0" applyFont="1" applyFill="1" applyBorder="1" applyAlignment="1">
      <alignment horizontal="center" vertical="top"/>
    </xf>
    <xf numFmtId="4" fontId="4" fillId="4" borderId="32" xfId="0" applyNumberFormat="1" applyFont="1" applyFill="1" applyBorder="1" applyAlignment="1">
      <alignment horizontal="right" vertical="top"/>
    </xf>
    <xf numFmtId="0" fontId="4" fillId="4" borderId="1" xfId="0" applyFont="1" applyFill="1" applyBorder="1" applyAlignment="1">
      <alignment horizontal="center" vertical="top" wrapText="1"/>
    </xf>
    <xf numFmtId="0" fontId="4" fillId="4" borderId="53" xfId="0" applyFont="1" applyFill="1" applyBorder="1" applyAlignment="1">
      <alignment horizontal="left" vertical="top" wrapText="1"/>
    </xf>
    <xf numFmtId="0" fontId="4" fillId="4" borderId="14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top" wrapText="1"/>
    </xf>
    <xf numFmtId="0" fontId="4" fillId="4" borderId="12" xfId="0" applyFont="1" applyFill="1" applyBorder="1" applyAlignment="1">
      <alignment horizontal="center" vertical="top"/>
    </xf>
    <xf numFmtId="0" fontId="4" fillId="4" borderId="22" xfId="0" applyFont="1" applyFill="1" applyBorder="1" applyAlignment="1">
      <alignment vertical="top" wrapText="1"/>
    </xf>
    <xf numFmtId="0" fontId="12" fillId="4" borderId="9" xfId="2" applyFont="1" applyFill="1" applyBorder="1" applyAlignment="1">
      <alignment horizontal="center" vertical="top" shrinkToFit="1"/>
    </xf>
    <xf numFmtId="0" fontId="4" fillId="4" borderId="10" xfId="0" applyFont="1" applyFill="1" applyBorder="1" applyAlignment="1">
      <alignment horizontal="left" vertical="top" wrapText="1"/>
    </xf>
    <xf numFmtId="0" fontId="4" fillId="4" borderId="13" xfId="0" applyFont="1" applyFill="1" applyBorder="1" applyAlignment="1">
      <alignment horizontal="left" vertical="top" wrapText="1"/>
    </xf>
    <xf numFmtId="0" fontId="4" fillId="4" borderId="9" xfId="0" applyFont="1" applyFill="1" applyBorder="1" applyAlignment="1">
      <alignment horizontal="center" vertical="top"/>
    </xf>
    <xf numFmtId="0" fontId="4" fillId="4" borderId="9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top" wrapText="1"/>
    </xf>
    <xf numFmtId="4" fontId="4" fillId="4" borderId="50" xfId="0" applyNumberFormat="1" applyFont="1" applyFill="1" applyBorder="1" applyAlignment="1">
      <alignment horizontal="right" vertical="top"/>
    </xf>
    <xf numFmtId="0" fontId="4" fillId="4" borderId="12" xfId="0" applyFont="1" applyFill="1" applyBorder="1" applyAlignment="1">
      <alignment vertical="top" wrapText="1"/>
    </xf>
    <xf numFmtId="0" fontId="4" fillId="4" borderId="15" xfId="0" applyFont="1" applyFill="1" applyBorder="1" applyAlignment="1">
      <alignment horizontal="center" vertical="top"/>
    </xf>
    <xf numFmtId="0" fontId="4" fillId="4" borderId="15" xfId="0" applyFont="1" applyFill="1" applyBorder="1" applyAlignment="1">
      <alignment horizontal="center" vertical="top" wrapText="1"/>
    </xf>
    <xf numFmtId="4" fontId="4" fillId="4" borderId="54" xfId="0" applyNumberFormat="1" applyFont="1" applyFill="1" applyBorder="1" applyAlignment="1">
      <alignment horizontal="right" vertical="top"/>
    </xf>
    <xf numFmtId="0" fontId="27" fillId="4" borderId="55" xfId="0" applyFont="1" applyFill="1" applyBorder="1" applyAlignment="1">
      <alignment horizontal="left" vertical="top"/>
    </xf>
    <xf numFmtId="0" fontId="27" fillId="4" borderId="56" xfId="0" applyFont="1" applyFill="1" applyBorder="1" applyAlignment="1">
      <alignment horizontal="left" vertical="top"/>
    </xf>
    <xf numFmtId="0" fontId="4" fillId="4" borderId="57" xfId="0" applyFont="1" applyFill="1" applyBorder="1" applyAlignment="1">
      <alignment horizontal="left" vertical="top" wrapText="1"/>
    </xf>
    <xf numFmtId="4" fontId="4" fillId="4" borderId="42" xfId="0" applyNumberFormat="1" applyFont="1" applyFill="1" applyBorder="1" applyAlignment="1">
      <alignment horizontal="right" vertical="top"/>
    </xf>
    <xf numFmtId="0" fontId="4" fillId="11" borderId="0" xfId="0" applyFont="1" applyFill="1" applyAlignment="1">
      <alignment horizontal="left" vertical="top"/>
    </xf>
    <xf numFmtId="0" fontId="27" fillId="4" borderId="14" xfId="0" applyFont="1" applyFill="1" applyBorder="1" applyAlignment="1">
      <alignment horizontal="left" vertical="top"/>
    </xf>
    <xf numFmtId="0" fontId="27" fillId="4" borderId="16" xfId="0" applyFont="1" applyFill="1" applyBorder="1" applyAlignment="1">
      <alignment horizontal="left" vertical="top"/>
    </xf>
    <xf numFmtId="0" fontId="4" fillId="4" borderId="58" xfId="0" applyFont="1" applyFill="1" applyBorder="1" applyAlignment="1">
      <alignment horizontal="left" vertical="top" wrapText="1"/>
    </xf>
    <xf numFmtId="0" fontId="27" fillId="4" borderId="59" xfId="0" applyFont="1" applyFill="1" applyBorder="1" applyAlignment="1">
      <alignment horizontal="left" vertical="top"/>
    </xf>
    <xf numFmtId="0" fontId="27" fillId="4" borderId="60" xfId="0" applyFont="1" applyFill="1" applyBorder="1" applyAlignment="1">
      <alignment horizontal="left" vertical="top"/>
    </xf>
    <xf numFmtId="0" fontId="4" fillId="4" borderId="61" xfId="0" applyFont="1" applyFill="1" applyBorder="1" applyAlignment="1">
      <alignment horizontal="left" vertical="top" wrapText="1"/>
    </xf>
    <xf numFmtId="0" fontId="4" fillId="4" borderId="53" xfId="0" applyFont="1" applyFill="1" applyBorder="1" applyAlignment="1">
      <alignment vertical="top" wrapText="1"/>
    </xf>
    <xf numFmtId="0" fontId="4" fillId="4" borderId="62" xfId="0" applyFont="1" applyFill="1" applyBorder="1" applyAlignment="1">
      <alignment horizontal="left" vertical="top" wrapText="1"/>
    </xf>
    <xf numFmtId="4" fontId="4" fillId="4" borderId="53" xfId="0" applyNumberFormat="1" applyFont="1" applyFill="1" applyBorder="1" applyAlignment="1">
      <alignment horizontal="right" vertical="top"/>
    </xf>
    <xf numFmtId="0" fontId="4" fillId="4" borderId="63" xfId="0" applyFont="1" applyFill="1" applyBorder="1" applyAlignment="1">
      <alignment horizontal="left" vertical="top" wrapText="1"/>
    </xf>
    <xf numFmtId="0" fontId="27" fillId="4" borderId="64" xfId="0" applyFont="1" applyFill="1" applyBorder="1" applyAlignment="1">
      <alignment horizontal="left" vertical="top" wrapText="1"/>
    </xf>
    <xf numFmtId="0" fontId="27" fillId="4" borderId="65" xfId="0" applyFont="1" applyFill="1" applyBorder="1" applyAlignment="1">
      <alignment horizontal="left" vertical="top" wrapText="1"/>
    </xf>
    <xf numFmtId="0" fontId="4" fillId="4" borderId="8" xfId="0" applyFont="1" applyFill="1" applyBorder="1" applyAlignment="1">
      <alignment vertical="top" wrapText="1"/>
    </xf>
    <xf numFmtId="0" fontId="4" fillId="4" borderId="8" xfId="0" applyFont="1" applyFill="1" applyBorder="1" applyAlignment="1">
      <alignment horizontal="left" vertical="top" wrapText="1"/>
    </xf>
    <xf numFmtId="4" fontId="4" fillId="4" borderId="8" xfId="0" applyNumberFormat="1" applyFont="1" applyFill="1" applyBorder="1" applyAlignment="1">
      <alignment horizontal="right" vertical="top"/>
    </xf>
    <xf numFmtId="0" fontId="4" fillId="19" borderId="0" xfId="0" applyFont="1" applyFill="1" applyAlignment="1">
      <alignment horizontal="left" vertical="top"/>
    </xf>
    <xf numFmtId="0" fontId="27" fillId="4" borderId="1" xfId="0" applyFont="1" applyFill="1" applyBorder="1" applyAlignment="1">
      <alignment horizontal="left" vertical="top" wrapText="1"/>
    </xf>
    <xf numFmtId="0" fontId="27" fillId="4" borderId="3" xfId="0" applyFont="1" applyFill="1" applyBorder="1" applyAlignment="1">
      <alignment horizontal="left" vertical="top" wrapText="1"/>
    </xf>
    <xf numFmtId="0" fontId="27" fillId="4" borderId="14" xfId="0" applyFont="1" applyFill="1" applyBorder="1" applyAlignment="1">
      <alignment horizontal="left" vertical="top" wrapText="1"/>
    </xf>
    <xf numFmtId="0" fontId="27" fillId="4" borderId="16" xfId="0" applyFont="1" applyFill="1" applyBorder="1" applyAlignment="1">
      <alignment horizontal="left" vertical="top" wrapText="1"/>
    </xf>
    <xf numFmtId="0" fontId="27" fillId="4" borderId="4" xfId="0" applyFont="1" applyFill="1" applyBorder="1" applyAlignment="1">
      <alignment horizontal="left" vertical="top" wrapText="1"/>
    </xf>
    <xf numFmtId="0" fontId="27" fillId="4" borderId="6" xfId="0" applyFont="1" applyFill="1" applyBorder="1" applyAlignment="1">
      <alignment horizontal="left" vertical="top" wrapText="1"/>
    </xf>
    <xf numFmtId="4" fontId="4" fillId="4" borderId="9" xfId="0" applyNumberFormat="1" applyFont="1" applyFill="1" applyBorder="1" applyAlignment="1">
      <alignment horizontal="right" vertical="top"/>
    </xf>
    <xf numFmtId="0" fontId="27" fillId="4" borderId="55" xfId="0" applyFont="1" applyFill="1" applyBorder="1" applyAlignment="1">
      <alignment horizontal="left" vertical="top" wrapText="1"/>
    </xf>
    <xf numFmtId="0" fontId="27" fillId="4" borderId="56" xfId="0" applyFont="1" applyFill="1" applyBorder="1" applyAlignment="1">
      <alignment horizontal="left" vertical="top" wrapText="1"/>
    </xf>
    <xf numFmtId="187" fontId="4" fillId="4" borderId="53" xfId="1" applyFont="1" applyFill="1" applyBorder="1" applyAlignment="1">
      <alignment horizontal="right" vertical="top" wrapText="1"/>
    </xf>
    <xf numFmtId="187" fontId="4" fillId="4" borderId="24" xfId="1" applyFont="1" applyFill="1" applyBorder="1" applyAlignment="1">
      <alignment horizontal="right" vertical="top" wrapText="1"/>
    </xf>
    <xf numFmtId="0" fontId="4" fillId="4" borderId="2" xfId="0" applyFont="1" applyFill="1" applyBorder="1" applyAlignment="1">
      <alignment horizontal="left" vertical="top"/>
    </xf>
    <xf numFmtId="0" fontId="27" fillId="4" borderId="59" xfId="0" applyFont="1" applyFill="1" applyBorder="1" applyAlignment="1">
      <alignment horizontal="left" vertical="top" wrapText="1"/>
    </xf>
    <xf numFmtId="0" fontId="27" fillId="4" borderId="60" xfId="0" applyFont="1" applyFill="1" applyBorder="1" applyAlignment="1">
      <alignment horizontal="left" vertical="top" wrapText="1"/>
    </xf>
    <xf numFmtId="0" fontId="4" fillId="4" borderId="66" xfId="0" applyFont="1" applyFill="1" applyBorder="1" applyAlignment="1">
      <alignment horizontal="left" vertical="top" wrapText="1"/>
    </xf>
    <xf numFmtId="187" fontId="4" fillId="4" borderId="19" xfId="1" applyFont="1" applyFill="1" applyBorder="1" applyAlignment="1">
      <alignment horizontal="right" vertical="top" wrapText="1"/>
    </xf>
    <xf numFmtId="0" fontId="4" fillId="4" borderId="67" xfId="0" applyFont="1" applyFill="1" applyBorder="1" applyAlignment="1">
      <alignment horizontal="left" vertical="top" wrapText="1"/>
    </xf>
    <xf numFmtId="4" fontId="4" fillId="4" borderId="68" xfId="0" applyNumberFormat="1" applyFont="1" applyFill="1" applyBorder="1" applyAlignment="1">
      <alignment horizontal="right" vertical="top"/>
    </xf>
    <xf numFmtId="0" fontId="4" fillId="4" borderId="49" xfId="0" applyFont="1" applyFill="1" applyBorder="1" applyAlignment="1">
      <alignment horizontal="left" vertical="top" wrapText="1"/>
    </xf>
    <xf numFmtId="0" fontId="12" fillId="4" borderId="12" xfId="2" applyFont="1" applyFill="1" applyBorder="1" applyAlignment="1">
      <alignment horizontal="center" vertical="top" shrinkToFit="1"/>
    </xf>
    <xf numFmtId="0" fontId="4" fillId="4" borderId="3" xfId="0" applyFont="1" applyFill="1" applyBorder="1" applyAlignment="1">
      <alignment vertical="top" wrapText="1"/>
    </xf>
    <xf numFmtId="0" fontId="4" fillId="4" borderId="12" xfId="0" applyFont="1" applyFill="1" applyBorder="1" applyAlignment="1">
      <alignment horizontal="center" vertical="top"/>
    </xf>
    <xf numFmtId="0" fontId="4" fillId="4" borderId="12" xfId="0" applyFont="1" applyFill="1" applyBorder="1" applyAlignment="1">
      <alignment horizontal="center" vertical="top" wrapText="1"/>
    </xf>
    <xf numFmtId="0" fontId="4" fillId="4" borderId="18" xfId="0" applyFont="1" applyFill="1" applyBorder="1" applyAlignment="1">
      <alignment vertical="top" wrapText="1"/>
    </xf>
    <xf numFmtId="0" fontId="27" fillId="4" borderId="69" xfId="0" applyFont="1" applyFill="1" applyBorder="1" applyAlignment="1">
      <alignment horizontal="left" vertical="top" wrapText="1"/>
    </xf>
    <xf numFmtId="0" fontId="27" fillId="4" borderId="70" xfId="0" applyFont="1" applyFill="1" applyBorder="1" applyAlignment="1">
      <alignment horizontal="left" vertical="top" wrapText="1"/>
    </xf>
    <xf numFmtId="0" fontId="4" fillId="4" borderId="7" xfId="0" applyFont="1" applyFill="1" applyBorder="1" applyAlignment="1">
      <alignment horizontal="left" vertical="top" wrapText="1"/>
    </xf>
    <xf numFmtId="4" fontId="4" fillId="4" borderId="71" xfId="0" applyNumberFormat="1" applyFont="1" applyFill="1" applyBorder="1" applyAlignment="1">
      <alignment horizontal="right" vertical="top"/>
    </xf>
    <xf numFmtId="0" fontId="4" fillId="4" borderId="72" xfId="0" applyFont="1" applyFill="1" applyBorder="1" applyAlignment="1">
      <alignment horizontal="left" vertical="top" wrapText="1"/>
    </xf>
    <xf numFmtId="0" fontId="12" fillId="4" borderId="15" xfId="0" applyFont="1" applyFill="1" applyBorder="1" applyAlignment="1">
      <alignment vertical="top" wrapText="1"/>
    </xf>
    <xf numFmtId="0" fontId="12" fillId="4" borderId="19" xfId="0" applyFont="1" applyFill="1" applyBorder="1" applyAlignment="1">
      <alignment vertical="top" wrapText="1"/>
    </xf>
    <xf numFmtId="0" fontId="12" fillId="4" borderId="12" xfId="2" applyFont="1" applyFill="1" applyBorder="1" applyAlignment="1">
      <alignment horizontal="center" vertical="top" wrapText="1" shrinkToFit="1"/>
    </xf>
    <xf numFmtId="0" fontId="12" fillId="4" borderId="15" xfId="2" applyFont="1" applyFill="1" applyBorder="1" applyAlignment="1">
      <alignment horizontal="center" vertical="top" wrapText="1" shrinkToFit="1"/>
    </xf>
    <xf numFmtId="0" fontId="12" fillId="4" borderId="9" xfId="2" applyFont="1" applyFill="1" applyBorder="1" applyAlignment="1">
      <alignment horizontal="center" vertical="top" wrapText="1" shrinkToFit="1"/>
    </xf>
    <xf numFmtId="0" fontId="12" fillId="4" borderId="12" xfId="2" applyFont="1" applyFill="1" applyBorder="1" applyAlignment="1">
      <alignment horizontal="center" vertical="top" wrapText="1" shrinkToFit="1"/>
    </xf>
    <xf numFmtId="0" fontId="4" fillId="4" borderId="1" xfId="0" applyFont="1" applyFill="1" applyBorder="1" applyAlignment="1">
      <alignment horizontal="left" vertical="top"/>
    </xf>
    <xf numFmtId="0" fontId="4" fillId="4" borderId="3" xfId="0" applyFont="1" applyFill="1" applyBorder="1" applyAlignment="1">
      <alignment horizontal="left" vertical="top"/>
    </xf>
    <xf numFmtId="0" fontId="12" fillId="4" borderId="8" xfId="2" applyFont="1" applyFill="1" applyBorder="1" applyAlignment="1">
      <alignment horizontal="center" vertical="top" wrapText="1" shrinkToFit="1"/>
    </xf>
    <xf numFmtId="0" fontId="12" fillId="4" borderId="8" xfId="2" applyFont="1" applyFill="1" applyBorder="1" applyAlignment="1">
      <alignment horizontal="center" vertical="top" wrapText="1" shrinkToFit="1"/>
    </xf>
    <xf numFmtId="0" fontId="4" fillId="4" borderId="14" xfId="0" applyFont="1" applyFill="1" applyBorder="1" applyAlignment="1">
      <alignment horizontal="left" vertical="top"/>
    </xf>
    <xf numFmtId="0" fontId="4" fillId="4" borderId="16" xfId="0" applyFont="1" applyFill="1" applyBorder="1" applyAlignment="1">
      <alignment horizontal="left" vertical="top"/>
    </xf>
    <xf numFmtId="0" fontId="4" fillId="4" borderId="4" xfId="0" applyFont="1" applyFill="1" applyBorder="1" applyAlignment="1">
      <alignment horizontal="left" vertical="top"/>
    </xf>
    <xf numFmtId="0" fontId="4" fillId="4" borderId="6" xfId="0" applyFont="1" applyFill="1" applyBorder="1" applyAlignment="1">
      <alignment horizontal="left" vertical="top"/>
    </xf>
    <xf numFmtId="0" fontId="12" fillId="4" borderId="15" xfId="2" applyFont="1" applyFill="1" applyBorder="1" applyAlignment="1">
      <alignment horizontal="center" vertical="top" shrinkToFit="1"/>
    </xf>
    <xf numFmtId="4" fontId="4" fillId="4" borderId="73" xfId="0" applyNumberFormat="1" applyFont="1" applyFill="1" applyBorder="1" applyAlignment="1">
      <alignment horizontal="right" vertical="top"/>
    </xf>
    <xf numFmtId="9" fontId="4" fillId="4" borderId="12" xfId="0" applyNumberFormat="1" applyFont="1" applyFill="1" applyBorder="1" applyAlignment="1">
      <alignment horizontal="center" vertical="top" wrapText="1"/>
    </xf>
    <xf numFmtId="0" fontId="4" fillId="4" borderId="74" xfId="0" applyFont="1" applyFill="1" applyBorder="1" applyAlignment="1">
      <alignment horizontal="left" vertical="top" wrapText="1"/>
    </xf>
    <xf numFmtId="4" fontId="4" fillId="4" borderId="75" xfId="0" applyNumberFormat="1" applyFont="1" applyFill="1" applyBorder="1" applyAlignment="1">
      <alignment horizontal="right" vertical="top"/>
    </xf>
    <xf numFmtId="187" fontId="4" fillId="4" borderId="42" xfId="1" applyFont="1" applyFill="1" applyBorder="1" applyAlignment="1">
      <alignment horizontal="right" vertical="top" wrapText="1"/>
    </xf>
    <xf numFmtId="187" fontId="4" fillId="4" borderId="32" xfId="1" applyFont="1" applyFill="1" applyBorder="1" applyAlignment="1">
      <alignment horizontal="right" vertical="top" wrapText="1"/>
    </xf>
    <xf numFmtId="0" fontId="4" fillId="4" borderId="8" xfId="0" applyFont="1" applyFill="1" applyBorder="1" applyAlignment="1">
      <alignment horizontal="center" vertical="top" wrapText="1"/>
    </xf>
    <xf numFmtId="0" fontId="4" fillId="4" borderId="8" xfId="0" applyFont="1" applyFill="1" applyBorder="1" applyAlignment="1">
      <alignment horizontal="right" vertical="top"/>
    </xf>
    <xf numFmtId="0" fontId="4" fillId="4" borderId="32" xfId="0" applyFont="1" applyFill="1" applyBorder="1" applyAlignment="1">
      <alignment horizontal="left" vertical="top"/>
    </xf>
    <xf numFmtId="0" fontId="27" fillId="4" borderId="15" xfId="0" applyFont="1" applyFill="1" applyBorder="1" applyAlignment="1">
      <alignment vertical="top" wrapText="1"/>
    </xf>
    <xf numFmtId="0" fontId="27" fillId="4" borderId="24" xfId="0" applyFont="1" applyFill="1" applyBorder="1" applyAlignment="1">
      <alignment horizontal="left" vertical="top" wrapText="1"/>
    </xf>
    <xf numFmtId="0" fontId="27" fillId="4" borderId="19" xfId="0" applyFont="1" applyFill="1" applyBorder="1" applyAlignment="1">
      <alignment horizontal="left" vertical="top" wrapText="1"/>
    </xf>
    <xf numFmtId="0" fontId="27" fillId="4" borderId="32" xfId="0" applyFont="1" applyFill="1" applyBorder="1" applyAlignment="1">
      <alignment vertical="top" wrapText="1"/>
    </xf>
    <xf numFmtId="0" fontId="12" fillId="4" borderId="8" xfId="2" applyFont="1" applyFill="1" applyBorder="1" applyAlignment="1">
      <alignment horizontal="center" vertical="top" shrinkToFit="1"/>
    </xf>
    <xf numFmtId="0" fontId="12" fillId="4" borderId="1" xfId="0" applyFont="1" applyFill="1" applyBorder="1" applyAlignment="1">
      <alignment horizontal="left" vertical="top" wrapText="1"/>
    </xf>
    <xf numFmtId="0" fontId="12" fillId="4" borderId="3" xfId="0" applyFont="1" applyFill="1" applyBorder="1" applyAlignment="1">
      <alignment horizontal="left" vertical="top" wrapText="1"/>
    </xf>
    <xf numFmtId="0" fontId="27" fillId="4" borderId="42" xfId="0" applyFont="1" applyFill="1" applyBorder="1" applyAlignment="1">
      <alignment vertical="top" wrapText="1"/>
    </xf>
    <xf numFmtId="0" fontId="4" fillId="4" borderId="3" xfId="0" applyFont="1" applyFill="1" applyBorder="1" applyAlignment="1">
      <alignment vertical="top"/>
    </xf>
    <xf numFmtId="0" fontId="12" fillId="4" borderId="14" xfId="0" applyFont="1" applyFill="1" applyBorder="1" applyAlignment="1">
      <alignment horizontal="left" vertical="top" wrapText="1"/>
    </xf>
    <xf numFmtId="0" fontId="12" fillId="4" borderId="16" xfId="0" applyFont="1" applyFill="1" applyBorder="1" applyAlignment="1">
      <alignment horizontal="left" vertical="top" wrapText="1"/>
    </xf>
    <xf numFmtId="0" fontId="27" fillId="4" borderId="24" xfId="0" applyFont="1" applyFill="1" applyBorder="1" applyAlignment="1">
      <alignment vertical="top" wrapText="1"/>
    </xf>
    <xf numFmtId="0" fontId="4" fillId="4" borderId="16" xfId="0" applyFont="1" applyFill="1" applyBorder="1" applyAlignment="1">
      <alignment vertical="top"/>
    </xf>
    <xf numFmtId="4" fontId="4" fillId="4" borderId="0" xfId="0" applyNumberFormat="1" applyFont="1" applyFill="1" applyAlignment="1">
      <alignment horizontal="right" vertical="top"/>
    </xf>
    <xf numFmtId="0" fontId="4" fillId="4" borderId="12" xfId="0" applyFont="1" applyFill="1" applyBorder="1" applyAlignment="1">
      <alignment horizontal="left" vertical="top" wrapText="1"/>
    </xf>
    <xf numFmtId="4" fontId="4" fillId="4" borderId="3" xfId="0" applyNumberFormat="1" applyFont="1" applyFill="1" applyBorder="1" applyAlignment="1">
      <alignment horizontal="right" vertical="top"/>
    </xf>
    <xf numFmtId="4" fontId="4" fillId="4" borderId="76" xfId="0" applyNumberFormat="1" applyFont="1" applyFill="1" applyBorder="1" applyAlignment="1">
      <alignment horizontal="right" vertical="top"/>
    </xf>
    <xf numFmtId="4" fontId="4" fillId="4" borderId="77" xfId="0" applyNumberFormat="1" applyFont="1" applyFill="1" applyBorder="1" applyAlignment="1">
      <alignment horizontal="right" vertical="top"/>
    </xf>
    <xf numFmtId="4" fontId="4" fillId="4" borderId="78" xfId="0" applyNumberFormat="1" applyFont="1" applyFill="1" applyBorder="1" applyAlignment="1">
      <alignment horizontal="right" vertical="top"/>
    </xf>
    <xf numFmtId="4" fontId="4" fillId="4" borderId="79" xfId="0" applyNumberFormat="1" applyFont="1" applyFill="1" applyBorder="1" applyAlignment="1">
      <alignment horizontal="right" vertical="top"/>
    </xf>
    <xf numFmtId="4" fontId="4" fillId="4" borderId="80" xfId="0" applyNumberFormat="1" applyFont="1" applyFill="1" applyBorder="1" applyAlignment="1">
      <alignment horizontal="right" vertical="top"/>
    </xf>
    <xf numFmtId="4" fontId="4" fillId="4" borderId="81" xfId="0" applyNumberFormat="1" applyFont="1" applyFill="1" applyBorder="1" applyAlignment="1">
      <alignment horizontal="right" vertical="top"/>
    </xf>
    <xf numFmtId="4" fontId="4" fillId="4" borderId="82" xfId="0" applyNumberFormat="1" applyFont="1" applyFill="1" applyBorder="1" applyAlignment="1">
      <alignment horizontal="right" vertical="top"/>
    </xf>
    <xf numFmtId="4" fontId="4" fillId="4" borderId="83" xfId="0" applyNumberFormat="1" applyFont="1" applyFill="1" applyBorder="1" applyAlignment="1">
      <alignment horizontal="right" vertical="top"/>
    </xf>
    <xf numFmtId="4" fontId="4" fillId="4" borderId="16" xfId="0" applyNumberFormat="1" applyFont="1" applyFill="1" applyBorder="1" applyAlignment="1">
      <alignment horizontal="right" vertical="top"/>
    </xf>
    <xf numFmtId="4" fontId="4" fillId="4" borderId="6" xfId="0" applyNumberFormat="1" applyFont="1" applyFill="1" applyBorder="1" applyAlignment="1">
      <alignment horizontal="right" vertical="top"/>
    </xf>
    <xf numFmtId="4" fontId="4" fillId="4" borderId="84" xfId="0" applyNumberFormat="1" applyFont="1" applyFill="1" applyBorder="1" applyAlignment="1">
      <alignment horizontal="right" vertical="top"/>
    </xf>
    <xf numFmtId="4" fontId="4" fillId="4" borderId="85" xfId="0" applyNumberFormat="1" applyFont="1" applyFill="1" applyBorder="1" applyAlignment="1">
      <alignment horizontal="right" vertical="top"/>
    </xf>
    <xf numFmtId="0" fontId="4" fillId="4" borderId="84" xfId="0" applyFont="1" applyFill="1" applyBorder="1" applyAlignment="1">
      <alignment vertical="top" wrapText="1"/>
    </xf>
    <xf numFmtId="4" fontId="4" fillId="4" borderId="86" xfId="0" applyNumberFormat="1" applyFont="1" applyFill="1" applyBorder="1" applyAlignment="1">
      <alignment horizontal="right" vertical="top"/>
    </xf>
    <xf numFmtId="0" fontId="4" fillId="4" borderId="76" xfId="0" applyFont="1" applyFill="1" applyBorder="1" applyAlignment="1">
      <alignment vertical="top" wrapText="1"/>
    </xf>
    <xf numFmtId="0" fontId="4" fillId="4" borderId="85" xfId="0" applyFont="1" applyFill="1" applyBorder="1" applyAlignment="1">
      <alignment vertical="top" wrapText="1"/>
    </xf>
    <xf numFmtId="0" fontId="4" fillId="4" borderId="86" xfId="0" applyFont="1" applyFill="1" applyBorder="1" applyAlignment="1">
      <alignment vertical="top" wrapText="1"/>
    </xf>
    <xf numFmtId="0" fontId="4" fillId="4" borderId="82" xfId="0" applyFont="1" applyFill="1" applyBorder="1" applyAlignment="1">
      <alignment vertical="top" wrapText="1"/>
    </xf>
    <xf numFmtId="0" fontId="4" fillId="4" borderId="86" xfId="0" applyFont="1" applyFill="1" applyBorder="1" applyAlignment="1">
      <alignment horizontal="right" vertical="top"/>
    </xf>
    <xf numFmtId="0" fontId="27" fillId="4" borderId="17" xfId="0" applyFont="1" applyFill="1" applyBorder="1" applyAlignment="1">
      <alignment horizontal="left" vertical="top" wrapText="1"/>
    </xf>
    <xf numFmtId="4" fontId="4" fillId="4" borderId="12" xfId="0" applyNumberFormat="1" applyFont="1" applyFill="1" applyBorder="1" applyAlignment="1">
      <alignment horizontal="right" vertical="top"/>
    </xf>
    <xf numFmtId="0" fontId="12" fillId="4" borderId="24" xfId="0" applyFont="1" applyFill="1" applyBorder="1" applyAlignment="1">
      <alignment horizontal="left" vertical="top" wrapText="1"/>
    </xf>
    <xf numFmtId="0" fontId="27" fillId="4" borderId="31" xfId="0" applyFont="1" applyFill="1" applyBorder="1" applyAlignment="1">
      <alignment horizontal="left" vertical="top" wrapText="1"/>
    </xf>
    <xf numFmtId="0" fontId="27" fillId="4" borderId="30" xfId="0" applyFont="1" applyFill="1" applyBorder="1" applyAlignment="1">
      <alignment vertical="top" wrapText="1"/>
    </xf>
    <xf numFmtId="0" fontId="27" fillId="4" borderId="32" xfId="0" applyFont="1" applyFill="1" applyBorder="1" applyAlignment="1">
      <alignment vertical="top"/>
    </xf>
    <xf numFmtId="4" fontId="4" fillId="4" borderId="51" xfId="0" applyNumberFormat="1" applyFont="1" applyFill="1" applyBorder="1" applyAlignment="1">
      <alignment horizontal="right" vertical="top"/>
    </xf>
    <xf numFmtId="0" fontId="4" fillId="4" borderId="5" xfId="0" applyFont="1" applyFill="1" applyBorder="1" applyAlignment="1">
      <alignment horizontal="left" vertical="top" wrapText="1"/>
    </xf>
    <xf numFmtId="4" fontId="4" fillId="4" borderId="15" xfId="0" applyNumberFormat="1" applyFont="1" applyFill="1" applyBorder="1" applyAlignment="1">
      <alignment horizontal="right" vertical="top"/>
    </xf>
    <xf numFmtId="9" fontId="4" fillId="4" borderId="1" xfId="0" applyNumberFormat="1" applyFont="1" applyFill="1" applyBorder="1" applyAlignment="1">
      <alignment horizontal="center" vertical="top" wrapText="1"/>
    </xf>
    <xf numFmtId="9" fontId="4" fillId="4" borderId="14" xfId="0" applyNumberFormat="1" applyFont="1" applyFill="1" applyBorder="1" applyAlignment="1">
      <alignment horizontal="center" vertical="top" wrapText="1"/>
    </xf>
    <xf numFmtId="9" fontId="4" fillId="4" borderId="4" xfId="0" applyNumberFormat="1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left" vertical="top" wrapText="1"/>
    </xf>
    <xf numFmtId="0" fontId="4" fillId="4" borderId="8" xfId="0" applyFont="1" applyFill="1" applyBorder="1" applyAlignment="1">
      <alignment vertical="top" wrapText="1"/>
    </xf>
    <xf numFmtId="4" fontId="4" fillId="4" borderId="57" xfId="0" applyNumberFormat="1" applyFont="1" applyFill="1" applyBorder="1" applyAlignment="1">
      <alignment horizontal="right" vertical="top"/>
    </xf>
    <xf numFmtId="0" fontId="4" fillId="4" borderId="42" xfId="0" applyFont="1" applyFill="1" applyBorder="1" applyAlignment="1">
      <alignment vertical="top" wrapText="1"/>
    </xf>
    <xf numFmtId="0" fontId="4" fillId="4" borderId="87" xfId="0" applyFont="1" applyFill="1" applyBorder="1" applyAlignment="1">
      <alignment vertical="top" wrapText="1"/>
    </xf>
    <xf numFmtId="4" fontId="4" fillId="4" borderId="58" xfId="0" applyNumberFormat="1" applyFont="1" applyFill="1" applyBorder="1" applyAlignment="1">
      <alignment horizontal="right" vertical="top"/>
    </xf>
    <xf numFmtId="0" fontId="4" fillId="4" borderId="24" xfId="0" applyFont="1" applyFill="1" applyBorder="1" applyAlignment="1">
      <alignment vertical="top" wrapText="1"/>
    </xf>
    <xf numFmtId="4" fontId="4" fillId="4" borderId="66" xfId="0" applyNumberFormat="1" applyFont="1" applyFill="1" applyBorder="1" applyAlignment="1">
      <alignment horizontal="right" vertical="top"/>
    </xf>
    <xf numFmtId="0" fontId="4" fillId="4" borderId="32" xfId="0" applyFont="1" applyFill="1" applyBorder="1" applyAlignment="1">
      <alignment vertical="top" wrapText="1"/>
    </xf>
    <xf numFmtId="0" fontId="4" fillId="4" borderId="9" xfId="0" applyFont="1" applyFill="1" applyBorder="1" applyAlignment="1">
      <alignment horizontal="right" vertical="top"/>
    </xf>
    <xf numFmtId="0" fontId="4" fillId="4" borderId="8" xfId="0" applyFont="1" applyFill="1" applyBorder="1" applyAlignment="1">
      <alignment horizontal="left" vertical="top" wrapText="1"/>
    </xf>
    <xf numFmtId="4" fontId="4" fillId="4" borderId="88" xfId="0" applyNumberFormat="1" applyFont="1" applyFill="1" applyBorder="1" applyAlignment="1">
      <alignment horizontal="right" vertical="top"/>
    </xf>
    <xf numFmtId="0" fontId="4" fillId="4" borderId="16" xfId="0" applyFont="1" applyFill="1" applyBorder="1" applyAlignment="1">
      <alignment vertical="top" wrapText="1"/>
    </xf>
    <xf numFmtId="4" fontId="4" fillId="4" borderId="56" xfId="0" applyNumberFormat="1" applyFont="1" applyFill="1" applyBorder="1" applyAlignment="1">
      <alignment horizontal="right" vertical="top"/>
    </xf>
    <xf numFmtId="4" fontId="4" fillId="4" borderId="60" xfId="0" applyNumberFormat="1" applyFont="1" applyFill="1" applyBorder="1" applyAlignment="1">
      <alignment horizontal="right" vertical="top"/>
    </xf>
    <xf numFmtId="4" fontId="4" fillId="4" borderId="70" xfId="0" applyNumberFormat="1" applyFont="1" applyFill="1" applyBorder="1" applyAlignment="1">
      <alignment horizontal="right" vertical="top"/>
    </xf>
    <xf numFmtId="0" fontId="4" fillId="4" borderId="13" xfId="0" applyFont="1" applyFill="1" applyBorder="1" applyAlignment="1">
      <alignment vertical="top" wrapText="1"/>
    </xf>
    <xf numFmtId="0" fontId="4" fillId="4" borderId="9" xfId="0" applyFont="1" applyFill="1" applyBorder="1" applyAlignment="1">
      <alignment horizontal="left" vertical="top"/>
    </xf>
    <xf numFmtId="4" fontId="4" fillId="4" borderId="13" xfId="0" applyNumberFormat="1" applyFont="1" applyFill="1" applyBorder="1" applyAlignment="1">
      <alignment horizontal="right" vertical="top"/>
    </xf>
    <xf numFmtId="0" fontId="27" fillId="4" borderId="12" xfId="0" applyFont="1" applyFill="1" applyBorder="1" applyAlignment="1">
      <alignment vertical="top"/>
    </xf>
    <xf numFmtId="0" fontId="27" fillId="4" borderId="12" xfId="0" applyFont="1" applyFill="1" applyBorder="1" applyAlignment="1">
      <alignment vertical="top" wrapText="1"/>
    </xf>
    <xf numFmtId="0" fontId="27" fillId="4" borderId="19" xfId="0" applyFont="1" applyFill="1" applyBorder="1" applyAlignment="1">
      <alignment vertical="top"/>
    </xf>
    <xf numFmtId="0" fontId="27" fillId="4" borderId="19" xfId="0" applyFont="1" applyFill="1" applyBorder="1" applyAlignment="1">
      <alignment vertical="top" wrapText="1"/>
    </xf>
    <xf numFmtId="0" fontId="27" fillId="4" borderId="24" xfId="0" applyFont="1" applyFill="1" applyBorder="1" applyAlignment="1">
      <alignment vertical="top"/>
    </xf>
    <xf numFmtId="0" fontId="27" fillId="4" borderId="9" xfId="0" applyFont="1" applyFill="1" applyBorder="1" applyAlignment="1">
      <alignment vertical="top" wrapText="1"/>
    </xf>
    <xf numFmtId="0" fontId="4" fillId="4" borderId="8" xfId="0" applyFont="1" applyFill="1" applyBorder="1" applyAlignment="1">
      <alignment horizontal="center" vertical="top"/>
    </xf>
    <xf numFmtId="4" fontId="4" fillId="4" borderId="89" xfId="0" applyNumberFormat="1" applyFont="1" applyFill="1" applyBorder="1" applyAlignment="1">
      <alignment horizontal="right" vertical="top"/>
    </xf>
    <xf numFmtId="4" fontId="4" fillId="4" borderId="90" xfId="0" applyNumberFormat="1" applyFont="1" applyFill="1" applyBorder="1" applyAlignment="1">
      <alignment horizontal="right" vertical="top"/>
    </xf>
    <xf numFmtId="0" fontId="27" fillId="4" borderId="69" xfId="0" applyFont="1" applyFill="1" applyBorder="1" applyAlignment="1">
      <alignment horizontal="left" vertical="top"/>
    </xf>
    <xf numFmtId="0" fontId="27" fillId="4" borderId="70" xfId="0" applyFont="1" applyFill="1" applyBorder="1" applyAlignment="1">
      <alignment horizontal="left" vertical="top"/>
    </xf>
    <xf numFmtId="187" fontId="4" fillId="4" borderId="8" xfId="1" applyFont="1" applyFill="1" applyBorder="1" applyAlignment="1">
      <alignment horizontal="right" vertical="top" wrapText="1"/>
    </xf>
    <xf numFmtId="0" fontId="4" fillId="4" borderId="1" xfId="0" applyFont="1" applyFill="1" applyBorder="1" applyAlignment="1">
      <alignment horizontal="center" vertical="top" wrapText="1"/>
    </xf>
    <xf numFmtId="0" fontId="4" fillId="4" borderId="14" xfId="0" applyFont="1" applyFill="1" applyBorder="1" applyAlignment="1">
      <alignment horizontal="center" vertical="top" wrapText="1"/>
    </xf>
    <xf numFmtId="4" fontId="4" fillId="4" borderId="12" xfId="0" applyNumberFormat="1" applyFont="1" applyFill="1" applyBorder="1" applyAlignment="1">
      <alignment vertical="top"/>
    </xf>
    <xf numFmtId="4" fontId="4" fillId="4" borderId="24" xfId="0" applyNumberFormat="1" applyFont="1" applyFill="1" applyBorder="1" applyAlignment="1">
      <alignment vertical="top" wrapText="1"/>
    </xf>
    <xf numFmtId="4" fontId="4" fillId="4" borderId="19" xfId="0" applyNumberFormat="1" applyFont="1" applyFill="1" applyBorder="1" applyAlignment="1">
      <alignment vertical="top"/>
    </xf>
    <xf numFmtId="0" fontId="4" fillId="4" borderId="8" xfId="0" applyFont="1" applyFill="1" applyBorder="1" applyAlignment="1">
      <alignment horizontal="center" vertical="top"/>
    </xf>
    <xf numFmtId="0" fontId="4" fillId="4" borderId="8" xfId="0" applyFont="1" applyFill="1" applyBorder="1" applyAlignment="1">
      <alignment horizontal="center" vertical="top" wrapText="1"/>
    </xf>
    <xf numFmtId="9" fontId="4" fillId="4" borderId="4" xfId="0" applyNumberFormat="1" applyFont="1" applyFill="1" applyBorder="1" applyAlignment="1">
      <alignment horizontal="center" vertical="top" wrapText="1"/>
    </xf>
    <xf numFmtId="0" fontId="4" fillId="4" borderId="12" xfId="0" applyFont="1" applyFill="1" applyBorder="1" applyAlignment="1">
      <alignment vertical="top"/>
    </xf>
    <xf numFmtId="0" fontId="4" fillId="4" borderId="15" xfId="0" applyFont="1" applyFill="1" applyBorder="1" applyAlignment="1">
      <alignment vertical="top"/>
    </xf>
    <xf numFmtId="0" fontId="4" fillId="4" borderId="9" xfId="0" applyFont="1" applyFill="1" applyBorder="1" applyAlignment="1">
      <alignment vertical="top"/>
    </xf>
    <xf numFmtId="0" fontId="4" fillId="4" borderId="54" xfId="0" applyFont="1" applyFill="1" applyBorder="1" applyAlignment="1">
      <alignment horizontal="left" vertical="top" wrapText="1"/>
    </xf>
    <xf numFmtId="0" fontId="4" fillId="4" borderId="91" xfId="0" applyFont="1" applyFill="1" applyBorder="1" applyAlignment="1">
      <alignment horizontal="left" vertical="top" wrapText="1"/>
    </xf>
    <xf numFmtId="4" fontId="4" fillId="4" borderId="92" xfId="0" applyNumberFormat="1" applyFont="1" applyFill="1" applyBorder="1" applyAlignment="1">
      <alignment horizontal="right" vertical="top"/>
    </xf>
    <xf numFmtId="4" fontId="4" fillId="4" borderId="93" xfId="0" applyNumberFormat="1" applyFont="1" applyFill="1" applyBorder="1" applyAlignment="1">
      <alignment horizontal="right" vertical="top"/>
    </xf>
    <xf numFmtId="4" fontId="4" fillId="4" borderId="94" xfId="0" applyNumberFormat="1" applyFont="1" applyFill="1" applyBorder="1" applyAlignment="1">
      <alignment horizontal="right" vertical="top"/>
    </xf>
    <xf numFmtId="4" fontId="4" fillId="4" borderId="95" xfId="0" applyNumberFormat="1" applyFont="1" applyFill="1" applyBorder="1" applyAlignment="1">
      <alignment horizontal="right" vertical="top"/>
    </xf>
    <xf numFmtId="0" fontId="4" fillId="4" borderId="96" xfId="0" applyFont="1" applyFill="1" applyBorder="1" applyAlignment="1">
      <alignment vertical="top" wrapText="1"/>
    </xf>
    <xf numFmtId="0" fontId="4" fillId="4" borderId="97" xfId="0" applyFont="1" applyFill="1" applyBorder="1" applyAlignment="1">
      <alignment vertical="top" wrapText="1"/>
    </xf>
    <xf numFmtId="0" fontId="4" fillId="4" borderId="63" xfId="0" applyFont="1" applyFill="1" applyBorder="1" applyAlignment="1">
      <alignment vertical="top" wrapText="1"/>
    </xf>
    <xf numFmtId="0" fontId="4" fillId="4" borderId="73" xfId="0" applyFont="1" applyFill="1" applyBorder="1" applyAlignment="1">
      <alignment vertical="top" wrapText="1"/>
    </xf>
    <xf numFmtId="0" fontId="12" fillId="4" borderId="24" xfId="0" applyFont="1" applyFill="1" applyBorder="1" applyAlignment="1">
      <alignment vertical="top" wrapText="1"/>
    </xf>
    <xf numFmtId="0" fontId="4" fillId="4" borderId="30" xfId="0" applyFont="1" applyFill="1" applyBorder="1" applyAlignment="1">
      <alignment horizontal="left" vertical="top" wrapText="1"/>
    </xf>
    <xf numFmtId="0" fontId="4" fillId="4" borderId="97" xfId="0" applyFont="1" applyFill="1" applyBorder="1" applyAlignment="1">
      <alignment horizontal="left" vertical="top" wrapText="1"/>
    </xf>
    <xf numFmtId="0" fontId="4" fillId="4" borderId="96" xfId="0" applyFont="1" applyFill="1" applyBorder="1" applyAlignment="1">
      <alignment horizontal="left" vertical="top" wrapText="1"/>
    </xf>
    <xf numFmtId="0" fontId="12" fillId="4" borderId="15" xfId="2" applyFont="1" applyFill="1" applyBorder="1" applyAlignment="1">
      <alignment horizontal="center" vertical="top" wrapText="1" shrinkToFit="1"/>
    </xf>
    <xf numFmtId="0" fontId="4" fillId="4" borderId="19" xfId="0" applyFont="1" applyFill="1" applyBorder="1" applyAlignment="1">
      <alignment horizontal="center" vertical="top" wrapText="1"/>
    </xf>
    <xf numFmtId="0" fontId="27" fillId="4" borderId="69" xfId="0" applyFont="1" applyFill="1" applyBorder="1" applyAlignment="1">
      <alignment vertical="top" wrapText="1"/>
    </xf>
    <xf numFmtId="0" fontId="27" fillId="4" borderId="70" xfId="0" applyFont="1" applyFill="1" applyBorder="1" applyAlignment="1">
      <alignment vertical="top" wrapText="1"/>
    </xf>
    <xf numFmtId="187" fontId="4" fillId="4" borderId="12" xfId="1" applyFont="1" applyFill="1" applyBorder="1" applyAlignment="1">
      <alignment horizontal="right" vertical="top" wrapText="1"/>
    </xf>
    <xf numFmtId="4" fontId="4" fillId="4" borderId="98" xfId="0" applyNumberFormat="1" applyFont="1" applyFill="1" applyBorder="1" applyAlignment="1">
      <alignment horizontal="right" vertical="top"/>
    </xf>
    <xf numFmtId="0" fontId="27" fillId="4" borderId="8" xfId="0" applyFont="1" applyFill="1" applyBorder="1" applyAlignment="1">
      <alignment horizontal="left" vertical="top" wrapText="1"/>
    </xf>
    <xf numFmtId="0" fontId="4" fillId="4" borderId="12" xfId="0" applyFont="1" applyFill="1" applyBorder="1" applyAlignment="1">
      <alignment vertical="top"/>
    </xf>
    <xf numFmtId="0" fontId="4" fillId="4" borderId="72" xfId="0" applyFont="1" applyFill="1" applyBorder="1" applyAlignment="1">
      <alignment horizontal="center" vertical="top" wrapText="1"/>
    </xf>
    <xf numFmtId="0" fontId="27" fillId="4" borderId="8" xfId="0" applyFont="1" applyFill="1" applyBorder="1" applyAlignment="1">
      <alignment vertical="top"/>
    </xf>
    <xf numFmtId="0" fontId="27" fillId="4" borderId="8" xfId="0" applyFont="1" applyFill="1" applyBorder="1" applyAlignment="1">
      <alignment vertical="top" wrapText="1"/>
    </xf>
    <xf numFmtId="0" fontId="4" fillId="4" borderId="11" xfId="0" applyFont="1" applyFill="1" applyBorder="1" applyAlignment="1">
      <alignment vertical="top" wrapText="1"/>
    </xf>
    <xf numFmtId="0" fontId="4" fillId="4" borderId="11" xfId="0" applyFont="1" applyFill="1" applyBorder="1" applyAlignment="1">
      <alignment horizontal="left" vertical="top" wrapText="1"/>
    </xf>
    <xf numFmtId="4" fontId="4" fillId="4" borderId="11" xfId="0" applyNumberFormat="1" applyFont="1" applyFill="1" applyBorder="1" applyAlignment="1">
      <alignment horizontal="right" vertical="top"/>
    </xf>
    <xf numFmtId="0" fontId="4" fillId="4" borderId="99" xfId="0" applyFont="1" applyFill="1" applyBorder="1" applyAlignment="1">
      <alignment vertical="top" wrapText="1"/>
    </xf>
    <xf numFmtId="0" fontId="4" fillId="4" borderId="99" xfId="0" applyFont="1" applyFill="1" applyBorder="1" applyAlignment="1">
      <alignment horizontal="left" vertical="top" wrapText="1"/>
    </xf>
    <xf numFmtId="4" fontId="4" fillId="4" borderId="99" xfId="0" applyNumberFormat="1" applyFont="1" applyFill="1" applyBorder="1" applyAlignment="1">
      <alignment horizontal="right" vertical="top"/>
    </xf>
    <xf numFmtId="0" fontId="4" fillId="4" borderId="90" xfId="0" applyFont="1" applyFill="1" applyBorder="1" applyAlignment="1">
      <alignment vertical="top" wrapText="1"/>
    </xf>
    <xf numFmtId="0" fontId="4" fillId="4" borderId="90" xfId="0" applyFont="1" applyFill="1" applyBorder="1" applyAlignment="1">
      <alignment horizontal="left" vertical="top" wrapText="1"/>
    </xf>
    <xf numFmtId="4" fontId="4" fillId="4" borderId="27" xfId="0" applyNumberFormat="1" applyFont="1" applyFill="1" applyBorder="1" applyAlignment="1">
      <alignment horizontal="right" vertical="top"/>
    </xf>
    <xf numFmtId="4" fontId="4" fillId="4" borderId="100" xfId="0" applyNumberFormat="1" applyFont="1" applyFill="1" applyBorder="1" applyAlignment="1">
      <alignment horizontal="right" vertical="top"/>
    </xf>
    <xf numFmtId="0" fontId="4" fillId="4" borderId="72" xfId="0" applyFont="1" applyFill="1" applyBorder="1" applyAlignment="1">
      <alignment horizontal="center" vertical="top" wrapText="1"/>
    </xf>
    <xf numFmtId="0" fontId="4" fillId="4" borderId="40" xfId="0" applyFont="1" applyFill="1" applyBorder="1" applyAlignment="1">
      <alignment vertical="top" wrapText="1"/>
    </xf>
    <xf numFmtId="0" fontId="4" fillId="4" borderId="101" xfId="0" applyFont="1" applyFill="1" applyBorder="1" applyAlignment="1">
      <alignment horizontal="center" vertical="top" wrapText="1"/>
    </xf>
    <xf numFmtId="0" fontId="4" fillId="4" borderId="30" xfId="0" applyFont="1" applyFill="1" applyBorder="1" applyAlignment="1">
      <alignment vertical="top" wrapText="1"/>
    </xf>
    <xf numFmtId="0" fontId="4" fillId="4" borderId="16" xfId="0" applyFont="1" applyFill="1" applyBorder="1" applyAlignment="1">
      <alignment horizontal="left" vertical="top" wrapText="1"/>
    </xf>
    <xf numFmtId="0" fontId="12" fillId="4" borderId="29" xfId="0" applyFont="1" applyFill="1" applyBorder="1" applyAlignment="1">
      <alignment vertical="top" wrapText="1"/>
    </xf>
    <xf numFmtId="0" fontId="12" fillId="4" borderId="30" xfId="0" applyFont="1" applyFill="1" applyBorder="1" applyAlignment="1">
      <alignment vertical="top" wrapText="1"/>
    </xf>
    <xf numFmtId="0" fontId="4" fillId="4" borderId="102" xfId="0" applyFont="1" applyFill="1" applyBorder="1" applyAlignment="1">
      <alignment horizontal="center" vertical="top" wrapText="1"/>
    </xf>
    <xf numFmtId="0" fontId="4" fillId="4" borderId="31" xfId="0" applyFont="1" applyFill="1" applyBorder="1" applyAlignment="1">
      <alignment vertical="top" wrapText="1"/>
    </xf>
    <xf numFmtId="4" fontId="4" fillId="4" borderId="33" xfId="0" applyNumberFormat="1" applyFont="1" applyFill="1" applyBorder="1" applyAlignment="1">
      <alignment vertical="top"/>
    </xf>
    <xf numFmtId="4" fontId="4" fillId="4" borderId="103" xfId="0" applyNumberFormat="1" applyFont="1" applyFill="1" applyBorder="1" applyAlignment="1">
      <alignment horizontal="right" vertical="top"/>
    </xf>
    <xf numFmtId="4" fontId="4" fillId="4" borderId="12" xfId="0" applyNumberFormat="1" applyFont="1" applyFill="1" applyBorder="1" applyAlignment="1">
      <alignment horizontal="center" vertical="top" wrapText="1"/>
    </xf>
    <xf numFmtId="10" fontId="4" fillId="4" borderId="19" xfId="0" applyNumberFormat="1" applyFont="1" applyFill="1" applyBorder="1" applyAlignment="1">
      <alignment vertical="top" wrapText="1"/>
    </xf>
    <xf numFmtId="10" fontId="4" fillId="4" borderId="24" xfId="0" applyNumberFormat="1" applyFont="1" applyFill="1" applyBorder="1" applyAlignment="1">
      <alignment vertical="top" wrapText="1"/>
    </xf>
    <xf numFmtId="187" fontId="4" fillId="4" borderId="32" xfId="1" applyFont="1" applyFill="1" applyBorder="1" applyAlignment="1">
      <alignment horizontal="right" vertical="top"/>
    </xf>
    <xf numFmtId="4" fontId="4" fillId="4" borderId="104" xfId="0" applyNumberFormat="1" applyFont="1" applyFill="1" applyBorder="1" applyAlignment="1">
      <alignment horizontal="right" vertical="top"/>
    </xf>
    <xf numFmtId="4" fontId="4" fillId="4" borderId="105" xfId="0" applyNumberFormat="1" applyFont="1" applyFill="1" applyBorder="1" applyAlignment="1">
      <alignment horizontal="right" vertical="top"/>
    </xf>
    <xf numFmtId="0" fontId="4" fillId="4" borderId="85" xfId="0" applyFont="1" applyFill="1" applyBorder="1" applyAlignment="1">
      <alignment horizontal="left" vertical="top" wrapText="1"/>
    </xf>
    <xf numFmtId="0" fontId="27" fillId="4" borderId="53" xfId="0" applyFont="1" applyFill="1" applyBorder="1" applyAlignment="1">
      <alignment vertical="top" wrapText="1"/>
    </xf>
    <xf numFmtId="0" fontId="12" fillId="4" borderId="4" xfId="0" applyFont="1" applyFill="1" applyBorder="1" applyAlignment="1">
      <alignment horizontal="left" vertical="top" wrapText="1"/>
    </xf>
    <xf numFmtId="0" fontId="12" fillId="4" borderId="6" xfId="0" applyFont="1" applyFill="1" applyBorder="1" applyAlignment="1">
      <alignment horizontal="left" vertical="top" wrapText="1"/>
    </xf>
  </cellXfs>
  <cellStyles count="5">
    <cellStyle name="Comma" xfId="1" builtinId="3"/>
    <cellStyle name="Comma 2 8" xfId="4"/>
    <cellStyle name="Comma 9" xfId="3"/>
    <cellStyle name="Normal" xfId="0" builtinId="0"/>
    <cellStyle name="ปกติ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688396</xdr:colOff>
      <xdr:row>2</xdr:row>
      <xdr:rowOff>228601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88396" cy="1009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8%20&#3648;&#3604;&#3639;&#3629;&#3609;/&#3649;&#3610;&#3610;&#3648;&#3585;&#3655;&#3610;&#3618;&#3640;&#3607;&#3608;&#3624;&#3634;&#3626;&#3605;&#3619;&#3660;&#3607;&#3637;&#3656;%202-2565%20&#3619;&#3629;&#3610;%208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  <sheetName val="Ref.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Y133"/>
  <sheetViews>
    <sheetView tabSelected="1" zoomScale="60" zoomScaleNormal="60" workbookViewId="0">
      <pane xSplit="4" ySplit="6" topLeftCell="I31" activePane="bottomRight" state="frozen"/>
      <selection activeCell="O35" sqref="O35"/>
      <selection pane="topRight" activeCell="O35" sqref="O35"/>
      <selection pane="bottomLeft" activeCell="O35" sqref="O35"/>
      <selection pane="bottomRight" activeCell="O35" sqref="O35"/>
    </sheetView>
  </sheetViews>
  <sheetFormatPr defaultColWidth="9" defaultRowHeight="24" x14ac:dyDescent="0.2"/>
  <cols>
    <col min="1" max="1" width="10.125" style="6" customWidth="1"/>
    <col min="2" max="2" width="13.5" style="126" customWidth="1"/>
    <col min="3" max="3" width="22.75" style="126" customWidth="1"/>
    <col min="4" max="4" width="9" style="126"/>
    <col min="5" max="6" width="18.75" style="126" customWidth="1"/>
    <col min="7" max="7" width="14.75" style="126" customWidth="1"/>
    <col min="8" max="10" width="18.75" style="126" customWidth="1"/>
    <col min="11" max="11" width="20.125" style="126" customWidth="1"/>
    <col min="12" max="12" width="11.5" style="126" bestFit="1" customWidth="1"/>
    <col min="13" max="13" width="16.625" style="126" bestFit="1" customWidth="1"/>
    <col min="14" max="14" width="27.875" style="126" bestFit="1" customWidth="1"/>
    <col min="15" max="15" width="47" style="126" bestFit="1" customWidth="1"/>
    <col min="16" max="16" width="12.125" style="6" customWidth="1"/>
    <col min="17" max="51" width="9" style="6"/>
    <col min="52" max="16384" width="9" style="126"/>
  </cols>
  <sheetData>
    <row r="1" spans="1:21" ht="30.75" x14ac:dyDescent="0.2">
      <c r="A1" s="1" t="s">
        <v>0</v>
      </c>
      <c r="B1" s="2"/>
      <c r="C1" s="3" t="s">
        <v>1</v>
      </c>
      <c r="D1" s="3"/>
      <c r="E1" s="3"/>
      <c r="F1" s="3"/>
      <c r="G1" s="3"/>
      <c r="H1" s="3"/>
      <c r="I1" s="3"/>
      <c r="J1" s="3"/>
      <c r="K1" s="3"/>
      <c r="L1" s="2" t="s">
        <v>2</v>
      </c>
      <c r="M1" s="4"/>
      <c r="N1" s="5"/>
      <c r="O1" s="5"/>
    </row>
    <row r="2" spans="1:21" ht="30.75" x14ac:dyDescent="0.2">
      <c r="A2" s="7" t="s">
        <v>3</v>
      </c>
      <c r="B2" s="8"/>
      <c r="C2" s="9" t="s">
        <v>4</v>
      </c>
      <c r="D2" s="10"/>
      <c r="E2" s="11"/>
      <c r="F2" s="11"/>
      <c r="G2" s="11"/>
      <c r="H2" s="11"/>
      <c r="I2" s="11"/>
      <c r="J2" s="11"/>
      <c r="K2" s="11"/>
      <c r="L2" s="8" t="s">
        <v>5</v>
      </c>
      <c r="M2" s="12"/>
      <c r="N2" s="5"/>
      <c r="O2" s="5"/>
    </row>
    <row r="3" spans="1:21" s="6" customFormat="1" x14ac:dyDescent="0.2">
      <c r="A3" s="13" t="s">
        <v>6</v>
      </c>
      <c r="B3" s="14" t="s">
        <v>7</v>
      </c>
      <c r="C3" s="15"/>
      <c r="D3" s="15" t="s">
        <v>8</v>
      </c>
      <c r="E3" s="16" t="s">
        <v>9</v>
      </c>
      <c r="F3" s="16"/>
      <c r="G3" s="16"/>
      <c r="H3" s="16"/>
      <c r="I3" s="16"/>
      <c r="J3" s="16"/>
      <c r="K3" s="16"/>
      <c r="L3" s="16"/>
      <c r="M3" s="16"/>
      <c r="N3" s="17"/>
      <c r="O3" s="17"/>
    </row>
    <row r="4" spans="1:21" ht="21" customHeight="1" x14ac:dyDescent="0.2">
      <c r="A4" s="18" t="s">
        <v>10</v>
      </c>
      <c r="B4" s="19" t="s">
        <v>11</v>
      </c>
      <c r="C4" s="19"/>
      <c r="D4" s="19" t="s">
        <v>12</v>
      </c>
      <c r="E4" s="18" t="s">
        <v>13</v>
      </c>
      <c r="F4" s="18"/>
      <c r="G4" s="18"/>
      <c r="H4" s="18"/>
      <c r="I4" s="18"/>
      <c r="J4" s="20" t="s">
        <v>14</v>
      </c>
      <c r="K4" s="19" t="s">
        <v>15</v>
      </c>
      <c r="L4" s="19" t="s">
        <v>16</v>
      </c>
      <c r="M4" s="19" t="s">
        <v>17</v>
      </c>
      <c r="N4" s="21" t="s">
        <v>18</v>
      </c>
      <c r="O4" s="21" t="s">
        <v>19</v>
      </c>
    </row>
    <row r="5" spans="1:21" ht="21" customHeight="1" x14ac:dyDescent="0.2">
      <c r="A5" s="18"/>
      <c r="B5" s="19"/>
      <c r="C5" s="19"/>
      <c r="D5" s="19"/>
      <c r="E5" s="18" t="s">
        <v>20</v>
      </c>
      <c r="F5" s="18"/>
      <c r="G5" s="18"/>
      <c r="H5" s="22" t="s">
        <v>21</v>
      </c>
      <c r="I5" s="19" t="s">
        <v>22</v>
      </c>
      <c r="J5" s="20"/>
      <c r="K5" s="19"/>
      <c r="L5" s="19"/>
      <c r="M5" s="19"/>
      <c r="N5" s="21"/>
      <c r="O5" s="21"/>
    </row>
    <row r="6" spans="1:21" ht="21" customHeight="1" x14ac:dyDescent="0.2">
      <c r="A6" s="18"/>
      <c r="B6" s="19"/>
      <c r="C6" s="19"/>
      <c r="D6" s="19"/>
      <c r="E6" s="23" t="s">
        <v>23</v>
      </c>
      <c r="F6" s="22" t="s">
        <v>24</v>
      </c>
      <c r="G6" s="22" t="s">
        <v>22</v>
      </c>
      <c r="H6" s="22" t="s">
        <v>25</v>
      </c>
      <c r="I6" s="19"/>
      <c r="J6" s="20"/>
      <c r="K6" s="19"/>
      <c r="L6" s="19"/>
      <c r="M6" s="19"/>
      <c r="N6" s="21"/>
      <c r="O6" s="21"/>
    </row>
    <row r="7" spans="1:21" s="6" customFormat="1" ht="23.25" customHeight="1" x14ac:dyDescent="0.2">
      <c r="A7" s="24" t="s">
        <v>26</v>
      </c>
      <c r="B7" s="24"/>
      <c r="C7" s="24"/>
      <c r="D7" s="25">
        <v>25000</v>
      </c>
      <c r="E7" s="26">
        <f>SUM(E8:E18)</f>
        <v>2937975</v>
      </c>
      <c r="F7" s="26">
        <f>SUM(F8:F18)</f>
        <v>24779196.800000001</v>
      </c>
      <c r="G7" s="26">
        <f>E7+F7</f>
        <v>27717171.800000001</v>
      </c>
      <c r="H7" s="26">
        <f>SUM(H8:H18)</f>
        <v>36247434</v>
      </c>
      <c r="I7" s="26">
        <f>G7+H7</f>
        <v>63964605.799999997</v>
      </c>
      <c r="J7" s="27">
        <f>SUM(J8:J18)</f>
        <v>602</v>
      </c>
      <c r="K7" s="28">
        <f>IFERROR(ROUND((I7/J7),2),0)</f>
        <v>106253.5</v>
      </c>
      <c r="L7" s="29">
        <f>IF(K7=0,0,IF(K7="N/A",1,IF(K7&lt;=Q$9,1,IF(K7=R$9,2,IF(K7&lt;R$9,(((K7-Q$9)/U$7)+1),IF(K7=S$9,3,IF(K7&lt;S$9,(((K7-R$9)/U$7)+2),IF(K7=T$9,4,IF(K7&lt;T$9,(((K7-S$9)/U$7)+3),IF(K7&gt;=U$9,5,IF(K7&lt;U$9,(((K7-T$9)/U$7)+4),0)))))))))))</f>
        <v>5</v>
      </c>
      <c r="M7" s="30" t="str">
        <f>IF(L7=5,"ü","û")</f>
        <v>ü</v>
      </c>
      <c r="N7" s="31"/>
      <c r="O7" s="31"/>
      <c r="P7" s="32"/>
      <c r="Q7" s="32" t="s">
        <v>27</v>
      </c>
      <c r="R7" s="32"/>
      <c r="S7" s="32"/>
      <c r="T7" s="32"/>
      <c r="U7" s="33">
        <v>5000</v>
      </c>
    </row>
    <row r="8" spans="1:21" s="6" customFormat="1" ht="23.25" customHeight="1" x14ac:dyDescent="0.2">
      <c r="A8" s="34">
        <v>1</v>
      </c>
      <c r="B8" s="35" t="s">
        <v>28</v>
      </c>
      <c r="C8" s="35"/>
      <c r="D8" s="36">
        <v>25000</v>
      </c>
      <c r="E8" s="37">
        <v>297340</v>
      </c>
      <c r="F8" s="38">
        <v>180200</v>
      </c>
      <c r="G8" s="39">
        <f t="shared" ref="G8:G30" si="0">E8+F8</f>
        <v>477540</v>
      </c>
      <c r="H8" s="37">
        <v>12500</v>
      </c>
      <c r="I8" s="39">
        <f>G8+H8</f>
        <v>490040</v>
      </c>
      <c r="J8" s="40">
        <v>54</v>
      </c>
      <c r="K8" s="41">
        <f>IFERROR(ROUND((I8/J8),2),0)</f>
        <v>9074.81</v>
      </c>
      <c r="L8" s="42">
        <f>IF(K8=0,0,IF(K8="N/A",1,IF(K8&lt;=Q$9,1,IF(K8=R$9,2,IF(K8&lt;R$9,(((K8-Q$9)/U$7)+1),IF(K8=S$9,3,IF(K8&lt;S$9,(((K8-R$9)/U$7)+2),IF(K8=T$9,4,IF(K8&lt;T$9,(((K8-S$9)/U$7)+3),IF(K8&gt;=U$9,5,IF(K8&lt;U$9,(((K8-T$9)/U$7)+4),0)))))))))))</f>
        <v>1.814962</v>
      </c>
      <c r="M8" s="43" t="str">
        <f t="shared" ref="M8:M18" si="1">IF(L8=5,"ü","û")</f>
        <v>û</v>
      </c>
      <c r="N8" s="44">
        <v>9074.81</v>
      </c>
      <c r="O8" s="45" t="s">
        <v>29</v>
      </c>
      <c r="P8" s="32"/>
      <c r="Q8" s="46" t="s">
        <v>30</v>
      </c>
      <c r="R8" s="46" t="s">
        <v>31</v>
      </c>
      <c r="S8" s="46" t="s">
        <v>32</v>
      </c>
      <c r="T8" s="46" t="s">
        <v>33</v>
      </c>
      <c r="U8" s="46" t="s">
        <v>34</v>
      </c>
    </row>
    <row r="9" spans="1:21" s="6" customFormat="1" ht="23.25" customHeight="1" x14ac:dyDescent="0.2">
      <c r="A9" s="34">
        <v>2</v>
      </c>
      <c r="B9" s="47" t="s">
        <v>35</v>
      </c>
      <c r="C9" s="47"/>
      <c r="D9" s="36">
        <v>25000</v>
      </c>
      <c r="E9" s="37">
        <v>177740</v>
      </c>
      <c r="F9" s="38">
        <v>1015780.8</v>
      </c>
      <c r="G9" s="48">
        <f t="shared" si="0"/>
        <v>1193520.8</v>
      </c>
      <c r="H9" s="37">
        <v>3213725</v>
      </c>
      <c r="I9" s="48">
        <f>G9+H9</f>
        <v>4407245.8</v>
      </c>
      <c r="J9" s="40">
        <v>51</v>
      </c>
      <c r="K9" s="41">
        <f t="shared" ref="K9:K18" si="2">IFERROR(ROUND((I9/J9),2),0)</f>
        <v>86416.58</v>
      </c>
      <c r="L9" s="42">
        <f t="shared" ref="L9:L18" si="3">IF(K9=0,0,IF(K9="N/A",1,IF(K9&lt;=Q$9,1,IF(K9=R$9,2,IF(K9&lt;R$9,(((K9-Q$9)/U$7)+1),IF(K9=S$9,3,IF(K9&lt;S$9,(((K9-R$9)/U$7)+2),IF(K9=T$9,4,IF(K9&lt;T$9,(((K9-S$9)/U$7)+3),IF(K9&gt;=U$9,5,IF(K9&lt;U$9,(((K9-T$9)/U$7)+4),0)))))))))))</f>
        <v>5</v>
      </c>
      <c r="M9" s="43" t="str">
        <f t="shared" si="1"/>
        <v>ü</v>
      </c>
      <c r="N9" s="44">
        <v>82985.210000000006</v>
      </c>
      <c r="O9" s="45" t="s">
        <v>29</v>
      </c>
      <c r="P9" s="32" t="s">
        <v>36</v>
      </c>
      <c r="Q9" s="49">
        <v>5000</v>
      </c>
      <c r="R9" s="49">
        <v>10000</v>
      </c>
      <c r="S9" s="49">
        <v>15000</v>
      </c>
      <c r="T9" s="49">
        <v>20000</v>
      </c>
      <c r="U9" s="49">
        <v>25000</v>
      </c>
    </row>
    <row r="10" spans="1:21" s="6" customFormat="1" ht="23.25" customHeight="1" x14ac:dyDescent="0.2">
      <c r="A10" s="34">
        <v>3</v>
      </c>
      <c r="B10" s="47" t="s">
        <v>37</v>
      </c>
      <c r="C10" s="47"/>
      <c r="D10" s="36">
        <v>25000</v>
      </c>
      <c r="E10" s="37">
        <v>120270</v>
      </c>
      <c r="F10" s="38">
        <v>502570</v>
      </c>
      <c r="G10" s="48">
        <f t="shared" si="0"/>
        <v>622840</v>
      </c>
      <c r="H10" s="37">
        <v>1654400</v>
      </c>
      <c r="I10" s="48">
        <f t="shared" ref="I10:I31" si="4">G10+H10</f>
        <v>2277240</v>
      </c>
      <c r="J10" s="40">
        <v>55</v>
      </c>
      <c r="K10" s="41">
        <f t="shared" si="2"/>
        <v>41404.36</v>
      </c>
      <c r="L10" s="42">
        <f t="shared" si="3"/>
        <v>5</v>
      </c>
      <c r="M10" s="43" t="str">
        <f t="shared" si="1"/>
        <v>ü</v>
      </c>
      <c r="N10" s="44">
        <v>63222.55</v>
      </c>
      <c r="O10" s="45" t="s">
        <v>29</v>
      </c>
      <c r="P10" s="32" t="s">
        <v>38</v>
      </c>
      <c r="Q10" s="49">
        <v>40000</v>
      </c>
      <c r="R10" s="49">
        <v>45000</v>
      </c>
      <c r="S10" s="49">
        <v>50000</v>
      </c>
      <c r="T10" s="49">
        <v>55000</v>
      </c>
      <c r="U10" s="49">
        <v>60000</v>
      </c>
    </row>
    <row r="11" spans="1:21" s="6" customFormat="1" ht="24" customHeight="1" x14ac:dyDescent="0.2">
      <c r="A11" s="34">
        <v>4</v>
      </c>
      <c r="B11" s="47" t="s">
        <v>39</v>
      </c>
      <c r="C11" s="47"/>
      <c r="D11" s="36">
        <v>25000</v>
      </c>
      <c r="E11" s="37">
        <v>515000</v>
      </c>
      <c r="F11" s="38">
        <v>9029087</v>
      </c>
      <c r="G11" s="48">
        <f t="shared" si="0"/>
        <v>9544087</v>
      </c>
      <c r="H11" s="37">
        <v>575000</v>
      </c>
      <c r="I11" s="48">
        <f>G11+H11</f>
        <v>10119087</v>
      </c>
      <c r="J11" s="40">
        <v>48</v>
      </c>
      <c r="K11" s="41">
        <f t="shared" si="2"/>
        <v>210814.31</v>
      </c>
      <c r="L11" s="42">
        <f>IF(K11=0,0,IF(K11="N/A",1,IF(K11&lt;=Q$9,1,IF(K11=R$9,2,IF(K11&lt;R$9,(((K11-Q$9)/U$7)+1),IF(K11=S$9,3,IF(K11&lt;S$9,(((K11-R$9)/U$7)+2),IF(K11=T$9,4,IF(K11&lt;T$9,(((K11-S$9)/U$7)+3),IF(K11&gt;=U$9,5,IF(K11&lt;U$9,(((K11-T$9)/U$7)+4),0)))))))))))</f>
        <v>5</v>
      </c>
      <c r="M11" s="43" t="str">
        <f t="shared" si="1"/>
        <v>ü</v>
      </c>
      <c r="N11" s="44">
        <v>187644.17</v>
      </c>
      <c r="O11" s="45" t="s">
        <v>29</v>
      </c>
      <c r="P11" s="32" t="s">
        <v>40</v>
      </c>
      <c r="Q11" s="49">
        <v>30000</v>
      </c>
      <c r="R11" s="49">
        <v>35000</v>
      </c>
      <c r="S11" s="49">
        <v>40000</v>
      </c>
      <c r="T11" s="49">
        <v>45000</v>
      </c>
      <c r="U11" s="49">
        <v>50000</v>
      </c>
    </row>
    <row r="12" spans="1:21" s="6" customFormat="1" ht="23.25" customHeight="1" x14ac:dyDescent="0.2">
      <c r="A12" s="34">
        <v>5</v>
      </c>
      <c r="B12" s="47" t="s">
        <v>41</v>
      </c>
      <c r="C12" s="47"/>
      <c r="D12" s="36">
        <v>25000</v>
      </c>
      <c r="E12" s="37">
        <v>589780</v>
      </c>
      <c r="F12" s="38">
        <v>10070870.25</v>
      </c>
      <c r="G12" s="48">
        <f t="shared" si="0"/>
        <v>10660650.25</v>
      </c>
      <c r="H12" s="37">
        <v>13409101</v>
      </c>
      <c r="I12" s="48">
        <f t="shared" si="4"/>
        <v>24069751.25</v>
      </c>
      <c r="J12" s="40">
        <v>94</v>
      </c>
      <c r="K12" s="41">
        <f t="shared" si="2"/>
        <v>256061.18</v>
      </c>
      <c r="L12" s="42">
        <f t="shared" si="3"/>
        <v>5</v>
      </c>
      <c r="M12" s="43" t="str">
        <f t="shared" si="1"/>
        <v>ü</v>
      </c>
      <c r="N12" s="44">
        <v>114863.99</v>
      </c>
      <c r="O12" s="45" t="s">
        <v>29</v>
      </c>
    </row>
    <row r="13" spans="1:21" s="6" customFormat="1" ht="23.25" customHeight="1" x14ac:dyDescent="0.2">
      <c r="A13" s="34">
        <v>6</v>
      </c>
      <c r="B13" s="47" t="s">
        <v>42</v>
      </c>
      <c r="C13" s="47"/>
      <c r="D13" s="36">
        <v>25000</v>
      </c>
      <c r="E13" s="37">
        <v>305650</v>
      </c>
      <c r="F13" s="37">
        <v>169149</v>
      </c>
      <c r="G13" s="39">
        <f t="shared" si="0"/>
        <v>474799</v>
      </c>
      <c r="H13" s="37">
        <v>1395000</v>
      </c>
      <c r="I13" s="39">
        <f t="shared" si="4"/>
        <v>1869799</v>
      </c>
      <c r="J13" s="40">
        <v>48</v>
      </c>
      <c r="K13" s="41">
        <f t="shared" si="2"/>
        <v>38954.15</v>
      </c>
      <c r="L13" s="42">
        <f t="shared" si="3"/>
        <v>5</v>
      </c>
      <c r="M13" s="43" t="str">
        <f t="shared" si="1"/>
        <v>ü</v>
      </c>
      <c r="N13" s="44">
        <v>38881.230000000003</v>
      </c>
      <c r="O13" s="45" t="s">
        <v>29</v>
      </c>
    </row>
    <row r="14" spans="1:21" s="6" customFormat="1" x14ac:dyDescent="0.2">
      <c r="A14" s="34">
        <v>7</v>
      </c>
      <c r="B14" s="47" t="s">
        <v>43</v>
      </c>
      <c r="C14" s="47"/>
      <c r="D14" s="36">
        <v>25000</v>
      </c>
      <c r="E14" s="37">
        <v>292090</v>
      </c>
      <c r="F14" s="37">
        <v>2649784.75</v>
      </c>
      <c r="G14" s="39">
        <f t="shared" si="0"/>
        <v>2941874.75</v>
      </c>
      <c r="H14" s="37">
        <v>884325</v>
      </c>
      <c r="I14" s="39">
        <f t="shared" si="4"/>
        <v>3826199.75</v>
      </c>
      <c r="J14" s="40">
        <v>58</v>
      </c>
      <c r="K14" s="41">
        <f t="shared" si="2"/>
        <v>65968.960000000006</v>
      </c>
      <c r="L14" s="42">
        <f t="shared" si="3"/>
        <v>5</v>
      </c>
      <c r="M14" s="43" t="str">
        <f t="shared" si="1"/>
        <v>ü</v>
      </c>
      <c r="N14" s="44">
        <v>65919.39</v>
      </c>
      <c r="O14" s="45" t="s">
        <v>29</v>
      </c>
    </row>
    <row r="15" spans="1:21" s="6" customFormat="1" x14ac:dyDescent="0.2">
      <c r="A15" s="34">
        <v>8</v>
      </c>
      <c r="B15" s="47" t="s">
        <v>44</v>
      </c>
      <c r="C15" s="47"/>
      <c r="D15" s="36">
        <v>25000</v>
      </c>
      <c r="E15" s="37">
        <v>170005</v>
      </c>
      <c r="F15" s="37">
        <v>1128100</v>
      </c>
      <c r="G15" s="39">
        <f t="shared" si="0"/>
        <v>1298105</v>
      </c>
      <c r="H15" s="37">
        <v>7032664</v>
      </c>
      <c r="I15" s="39">
        <f t="shared" si="4"/>
        <v>8330769</v>
      </c>
      <c r="J15" s="40">
        <v>64</v>
      </c>
      <c r="K15" s="41">
        <f t="shared" si="2"/>
        <v>130168.27</v>
      </c>
      <c r="L15" s="42">
        <f t="shared" si="3"/>
        <v>5</v>
      </c>
      <c r="M15" s="43" t="str">
        <f t="shared" si="1"/>
        <v>ü</v>
      </c>
      <c r="N15" s="44">
        <v>130168.27</v>
      </c>
      <c r="O15" s="45" t="s">
        <v>29</v>
      </c>
    </row>
    <row r="16" spans="1:21" s="6" customFormat="1" x14ac:dyDescent="0.2">
      <c r="A16" s="34">
        <v>9</v>
      </c>
      <c r="B16" s="47" t="s">
        <v>45</v>
      </c>
      <c r="C16" s="47"/>
      <c r="D16" s="36">
        <v>25000</v>
      </c>
      <c r="E16" s="37">
        <v>135525</v>
      </c>
      <c r="F16" s="37">
        <v>33655</v>
      </c>
      <c r="G16" s="39">
        <f t="shared" si="0"/>
        <v>169180</v>
      </c>
      <c r="H16" s="37">
        <v>5842075</v>
      </c>
      <c r="I16" s="39">
        <f t="shared" si="4"/>
        <v>6011255</v>
      </c>
      <c r="J16" s="40">
        <v>43</v>
      </c>
      <c r="K16" s="41">
        <f t="shared" si="2"/>
        <v>139796.63</v>
      </c>
      <c r="L16" s="42">
        <f>IF(K16=0,0,IF(K16="N/A",1,IF(K16&lt;=Q$9,1,IF(K16=R$9,2,IF(K16&lt;R$9,(((K16-Q$9)/U$7)+1),IF(K16=S$9,3,IF(K16&lt;S$9,(((K16-R$9)/U$7)+2),IF(K16=T$9,4,IF(K16&lt;T$9,(((K16-S$9)/U$7)+3),IF(K16&gt;=U$9,5,IF(K16&lt;U$9,(((K16-T$9)/U$7)+4),0)))))))))))</f>
        <v>5</v>
      </c>
      <c r="M16" s="43" t="str">
        <f t="shared" si="1"/>
        <v>ü</v>
      </c>
      <c r="N16" s="44">
        <v>139796.63</v>
      </c>
      <c r="O16" s="45" t="s">
        <v>29</v>
      </c>
    </row>
    <row r="17" spans="1:15" s="6" customFormat="1" x14ac:dyDescent="0.2">
      <c r="A17" s="50"/>
      <c r="B17" s="47" t="s">
        <v>46</v>
      </c>
      <c r="C17" s="47"/>
      <c r="D17" s="36">
        <v>25000</v>
      </c>
      <c r="E17" s="51">
        <v>138375</v>
      </c>
      <c r="F17" s="52">
        <v>0</v>
      </c>
      <c r="G17" s="39">
        <f t="shared" si="0"/>
        <v>138375</v>
      </c>
      <c r="H17" s="51">
        <v>1645000</v>
      </c>
      <c r="I17" s="39">
        <f t="shared" si="4"/>
        <v>1783375</v>
      </c>
      <c r="J17" s="53">
        <v>65</v>
      </c>
      <c r="K17" s="41">
        <f t="shared" si="2"/>
        <v>27436.54</v>
      </c>
      <c r="L17" s="42">
        <f t="shared" si="3"/>
        <v>5</v>
      </c>
      <c r="M17" s="43" t="str">
        <f t="shared" si="1"/>
        <v>ü</v>
      </c>
      <c r="N17" s="44">
        <v>27436.54</v>
      </c>
      <c r="O17" s="45" t="s">
        <v>29</v>
      </c>
    </row>
    <row r="18" spans="1:15" s="6" customFormat="1" x14ac:dyDescent="0.2">
      <c r="A18" s="34">
        <v>10</v>
      </c>
      <c r="B18" s="47" t="s">
        <v>47</v>
      </c>
      <c r="C18" s="47"/>
      <c r="D18" s="54">
        <v>25000</v>
      </c>
      <c r="E18" s="55">
        <v>196200</v>
      </c>
      <c r="F18" s="55">
        <f>SUM(F19:F22)</f>
        <v>0</v>
      </c>
      <c r="G18" s="56">
        <f>E18+F18</f>
        <v>196200</v>
      </c>
      <c r="H18" s="57">
        <f>SUM(H19:H22)</f>
        <v>583644</v>
      </c>
      <c r="I18" s="56">
        <f>G18+H18</f>
        <v>779844</v>
      </c>
      <c r="J18" s="58">
        <v>22</v>
      </c>
      <c r="K18" s="41">
        <f t="shared" si="2"/>
        <v>35447.449999999997</v>
      </c>
      <c r="L18" s="42">
        <f t="shared" si="3"/>
        <v>5</v>
      </c>
      <c r="M18" s="43" t="str">
        <f t="shared" si="1"/>
        <v>ü</v>
      </c>
      <c r="N18" s="44">
        <v>35447.449999999997</v>
      </c>
      <c r="O18" s="45" t="s">
        <v>29</v>
      </c>
    </row>
    <row r="19" spans="1:15" s="6" customFormat="1" ht="24" customHeight="1" x14ac:dyDescent="0.2">
      <c r="A19" s="59"/>
      <c r="B19" s="60" t="s">
        <v>48</v>
      </c>
      <c r="C19" s="60"/>
      <c r="D19" s="61"/>
      <c r="E19" s="57">
        <v>54100</v>
      </c>
      <c r="F19" s="62">
        <v>0</v>
      </c>
      <c r="G19" s="56">
        <f t="shared" ref="G19:G23" si="5">E19+F19</f>
        <v>54100</v>
      </c>
      <c r="H19" s="57">
        <v>534548</v>
      </c>
      <c r="I19" s="56"/>
      <c r="J19" s="63">
        <v>7</v>
      </c>
      <c r="K19" s="64"/>
      <c r="L19" s="65"/>
      <c r="M19" s="66"/>
      <c r="N19" s="67"/>
      <c r="O19" s="68"/>
    </row>
    <row r="20" spans="1:15" s="6" customFormat="1" ht="24" customHeight="1" x14ac:dyDescent="0.2">
      <c r="A20" s="59"/>
      <c r="B20" s="60" t="s">
        <v>49</v>
      </c>
      <c r="C20" s="60"/>
      <c r="D20" s="61"/>
      <c r="E20" s="57">
        <v>70900</v>
      </c>
      <c r="F20" s="62">
        <v>0</v>
      </c>
      <c r="G20" s="56">
        <f t="shared" si="5"/>
        <v>70900</v>
      </c>
      <c r="H20" s="57">
        <v>39548</v>
      </c>
      <c r="I20" s="56"/>
      <c r="J20" s="63">
        <v>4</v>
      </c>
      <c r="K20" s="64"/>
      <c r="L20" s="65"/>
      <c r="M20" s="66"/>
      <c r="N20" s="67"/>
      <c r="O20" s="68"/>
    </row>
    <row r="21" spans="1:15" s="6" customFormat="1" ht="24" customHeight="1" x14ac:dyDescent="0.2">
      <c r="A21" s="59"/>
      <c r="B21" s="60" t="s">
        <v>50</v>
      </c>
      <c r="C21" s="60"/>
      <c r="D21" s="61"/>
      <c r="E21" s="57">
        <v>41000</v>
      </c>
      <c r="F21" s="62">
        <v>0</v>
      </c>
      <c r="G21" s="56">
        <f t="shared" si="5"/>
        <v>41000</v>
      </c>
      <c r="H21" s="57">
        <v>9548</v>
      </c>
      <c r="I21" s="56"/>
      <c r="J21" s="63">
        <v>5</v>
      </c>
      <c r="K21" s="64"/>
      <c r="L21" s="65"/>
      <c r="M21" s="66"/>
      <c r="N21" s="67"/>
      <c r="O21" s="68"/>
    </row>
    <row r="22" spans="1:15" s="6" customFormat="1" ht="24" customHeight="1" x14ac:dyDescent="0.55000000000000004">
      <c r="A22" s="59"/>
      <c r="B22" s="60" t="s">
        <v>51</v>
      </c>
      <c r="C22" s="60"/>
      <c r="D22" s="69"/>
      <c r="E22" s="70">
        <v>30200</v>
      </c>
      <c r="F22" s="71">
        <v>0</v>
      </c>
      <c r="G22" s="72">
        <f t="shared" si="5"/>
        <v>30200</v>
      </c>
      <c r="H22" s="57">
        <v>0</v>
      </c>
      <c r="I22" s="73"/>
      <c r="J22" s="74">
        <v>5</v>
      </c>
      <c r="K22" s="64"/>
      <c r="L22" s="65"/>
      <c r="M22" s="66"/>
      <c r="N22" s="67"/>
      <c r="O22" s="68"/>
    </row>
    <row r="23" spans="1:15" s="6" customFormat="1" ht="21" customHeight="1" x14ac:dyDescent="0.2">
      <c r="A23" s="75" t="s">
        <v>52</v>
      </c>
      <c r="B23" s="76"/>
      <c r="C23" s="77"/>
      <c r="D23" s="78">
        <v>60000</v>
      </c>
      <c r="E23" s="79">
        <f>SUM(E24:E27)</f>
        <v>860270</v>
      </c>
      <c r="F23" s="79">
        <f>SUM(F24:F27)</f>
        <v>9131869.0500000007</v>
      </c>
      <c r="G23" s="79">
        <f t="shared" si="5"/>
        <v>9992139.0500000007</v>
      </c>
      <c r="H23" s="79">
        <f>SUM(H24:H27)</f>
        <v>109423190</v>
      </c>
      <c r="I23" s="79">
        <f t="shared" si="4"/>
        <v>119415329.05</v>
      </c>
      <c r="J23" s="80">
        <f>SUM(J24:J27)</f>
        <v>186</v>
      </c>
      <c r="K23" s="28">
        <f>IFERROR(ROUND((I23/J23),2),0)</f>
        <v>642017.9</v>
      </c>
      <c r="L23" s="81">
        <f>IF(K23=0,0,IF(K23="N/A",1,IF(K23&lt;=Q$10,1,IF(K23=R$10,2,IF(K23&lt;R$10,(((K23-Q$10)/U$7)+1),IF(K23=S$10,3,IF(K23&lt;S$10,(((K23-R$10)/U$7)+2),IF(K23=T$10,4,IF(K23&lt;T$10,(((K23-S$10)/U$7)+3),IF(K23&gt;=U$10,5,IF(K23&lt;U$10,(((K23-T$10)/U$7)+4),0)))))))))))</f>
        <v>5</v>
      </c>
      <c r="M23" s="82" t="str">
        <f>IF(L23=5,"ü","û")</f>
        <v>ü</v>
      </c>
      <c r="N23" s="31"/>
      <c r="O23" s="83"/>
    </row>
    <row r="24" spans="1:15" s="6" customFormat="1" x14ac:dyDescent="0.2">
      <c r="A24" s="50"/>
      <c r="B24" s="47" t="s">
        <v>53</v>
      </c>
      <c r="C24" s="47"/>
      <c r="D24" s="36">
        <v>60000</v>
      </c>
      <c r="E24" s="51">
        <v>19600</v>
      </c>
      <c r="F24" s="51">
        <v>0</v>
      </c>
      <c r="G24" s="39">
        <f t="shared" si="0"/>
        <v>19600</v>
      </c>
      <c r="H24" s="84">
        <v>0</v>
      </c>
      <c r="I24" s="39">
        <f t="shared" si="4"/>
        <v>19600</v>
      </c>
      <c r="J24" s="53">
        <v>14</v>
      </c>
      <c r="K24" s="41">
        <f>IFERROR(ROUND((I24/J24),2),0)</f>
        <v>1400</v>
      </c>
      <c r="L24" s="42">
        <f>IF(K24=0,0,IF(K24="N/A",1,IF(K24&lt;=Q$10,1,IF(K24=R$10,2,IF(K24&lt;R$10,(((K24-Q$10)/U$7)+1),IF(K24=S$10,3,IF(K24&lt;S$10,(((K24-R$10)/U$7)+2),IF(K24=T$10,4,IF(K24&lt;T$10,(((K24-S$10)/U$7)+3),IF(K24&gt;=U$10,5,IF(K24&lt;U$10,(((K24-T$10)/U$7)+4),0)))))))))))</f>
        <v>1</v>
      </c>
      <c r="M24" s="43" t="str">
        <f t="shared" ref="M24:M27" si="6">IF(L24=5,"ü","û")</f>
        <v>û</v>
      </c>
      <c r="N24" s="44">
        <v>2800</v>
      </c>
      <c r="O24" s="45" t="s">
        <v>29</v>
      </c>
    </row>
    <row r="25" spans="1:15" s="6" customFormat="1" x14ac:dyDescent="0.2">
      <c r="A25" s="34">
        <v>1</v>
      </c>
      <c r="B25" s="47" t="s">
        <v>54</v>
      </c>
      <c r="C25" s="47"/>
      <c r="D25" s="36">
        <v>60000</v>
      </c>
      <c r="E25" s="37">
        <v>599460</v>
      </c>
      <c r="F25" s="37">
        <v>5991146.0499999998</v>
      </c>
      <c r="G25" s="39">
        <f t="shared" si="0"/>
        <v>6590606.0499999998</v>
      </c>
      <c r="H25" s="85">
        <v>77524205</v>
      </c>
      <c r="I25" s="39">
        <f t="shared" si="4"/>
        <v>84114811.049999997</v>
      </c>
      <c r="J25" s="40">
        <v>105</v>
      </c>
      <c r="K25" s="41">
        <f t="shared" ref="K25:K27" si="7">IFERROR(ROUND((I25/J25),2),0)</f>
        <v>801093.44</v>
      </c>
      <c r="L25" s="42">
        <f>IF(K25=0,0,IF(K25="N/A",1,IF(K25&lt;=Q$10,1,IF(K25=R$10,2,IF(K25&lt;R$10,(((K25-Q$10)/U$7)+1),IF(K25=S$10,3,IF(K25&lt;S$10,(((K25-R$10)/U$7)+2),IF(K25=T$10,4,IF(K25&lt;T$10,(((K25-S$10)/U$7)+3),IF(K25&gt;=U$10,5,IF(K25&lt;U$10,(((K25-T$10)/U$7)+4),0)))))))))))</f>
        <v>5</v>
      </c>
      <c r="M25" s="43" t="str">
        <f t="shared" si="6"/>
        <v>ü</v>
      </c>
      <c r="N25" s="44">
        <v>813299.14</v>
      </c>
      <c r="O25" s="45" t="s">
        <v>29</v>
      </c>
    </row>
    <row r="26" spans="1:15" s="6" customFormat="1" x14ac:dyDescent="0.2">
      <c r="A26" s="34">
        <v>2</v>
      </c>
      <c r="B26" s="47" t="s">
        <v>55</v>
      </c>
      <c r="C26" s="47"/>
      <c r="D26" s="36">
        <v>60000</v>
      </c>
      <c r="E26" s="37">
        <v>228410</v>
      </c>
      <c r="F26" s="37">
        <v>3029373</v>
      </c>
      <c r="G26" s="39">
        <f t="shared" si="0"/>
        <v>3257783</v>
      </c>
      <c r="H26" s="37">
        <v>28498985</v>
      </c>
      <c r="I26" s="39">
        <f t="shared" si="4"/>
        <v>31756768</v>
      </c>
      <c r="J26" s="40">
        <v>55</v>
      </c>
      <c r="K26" s="41">
        <f t="shared" si="7"/>
        <v>577395.78</v>
      </c>
      <c r="L26" s="42">
        <f t="shared" ref="L26" si="8">IF(K26=0,0,IF(K26="N/A",1,IF(K26&lt;=Q$10,1,IF(K26=R$10,2,IF(K26&lt;R$10,(((K26-Q$10)/U$7)+1),IF(K26=S$10,3,IF(K26&lt;S$10,(((K26-R$10)/U$7)+2),IF(K26=T$10,4,IF(K26&lt;T$10,(((K26-S$10)/U$7)+3),IF(K26&gt;=U$10,5,IF(K26&lt;U$10,(((K26-T$10)/U$7)+4),0)))))))))))</f>
        <v>5</v>
      </c>
      <c r="M26" s="43" t="str">
        <f t="shared" si="6"/>
        <v>ü</v>
      </c>
      <c r="N26" s="44">
        <v>574668.51</v>
      </c>
      <c r="O26" s="45" t="s">
        <v>29</v>
      </c>
    </row>
    <row r="27" spans="1:15" s="6" customFormat="1" x14ac:dyDescent="0.2">
      <c r="A27" s="34">
        <v>3</v>
      </c>
      <c r="B27" s="86" t="s">
        <v>56</v>
      </c>
      <c r="C27" s="86"/>
      <c r="D27" s="36">
        <v>60000</v>
      </c>
      <c r="E27" s="87">
        <v>12800</v>
      </c>
      <c r="F27" s="87">
        <v>111350</v>
      </c>
      <c r="G27" s="39">
        <f t="shared" si="0"/>
        <v>124150</v>
      </c>
      <c r="H27" s="87">
        <v>3400000</v>
      </c>
      <c r="I27" s="39">
        <f t="shared" si="4"/>
        <v>3524150</v>
      </c>
      <c r="J27" s="88">
        <v>12</v>
      </c>
      <c r="K27" s="41">
        <f t="shared" si="7"/>
        <v>293679.17</v>
      </c>
      <c r="L27" s="42">
        <f>IF(K27=0,0,IF(K27="N/A",1,IF(K27&lt;=Q$10,1,IF(K27=R$10,2,IF(K27&lt;R$10,(((K27-Q$10)/U$7)+1),IF(K27=S$10,3,IF(K27&lt;S$10,(((K27-R$10)/U$7)+2),IF(K27=T$10,4,IF(K27&lt;T$10,(((K27-S$10)/U$7)+3),IF(K27&gt;=U$10,5,IF(K27&lt;U$10,(((K27-T$10)/U$7)+4),0)))))))))))</f>
        <v>5</v>
      </c>
      <c r="M27" s="43" t="str">
        <f t="shared" si="6"/>
        <v>ü</v>
      </c>
      <c r="N27" s="44">
        <v>293679.17</v>
      </c>
      <c r="O27" s="45" t="s">
        <v>29</v>
      </c>
    </row>
    <row r="28" spans="1:15" s="6" customFormat="1" ht="21" customHeight="1" x14ac:dyDescent="0.2">
      <c r="A28" s="75" t="s">
        <v>57</v>
      </c>
      <c r="B28" s="76"/>
      <c r="C28" s="77"/>
      <c r="D28" s="78">
        <v>50000</v>
      </c>
      <c r="E28" s="79">
        <f>SUM(E29:E30)</f>
        <v>356450</v>
      </c>
      <c r="F28" s="79">
        <f>SUM(F29:F30)</f>
        <v>7794844.1499999994</v>
      </c>
      <c r="G28" s="79">
        <f t="shared" si="0"/>
        <v>8151294.1499999994</v>
      </c>
      <c r="H28" s="89">
        <f>SUM(H29:H30)</f>
        <v>0</v>
      </c>
      <c r="I28" s="79">
        <f t="shared" si="4"/>
        <v>8151294.1499999994</v>
      </c>
      <c r="J28" s="80">
        <f>SUM(J29:J30)</f>
        <v>107</v>
      </c>
      <c r="K28" s="28">
        <f>IFERROR(ROUND((I28/J28),2),0)</f>
        <v>76180.320000000007</v>
      </c>
      <c r="L28" s="81">
        <f>IF(K28=0,0,IF(K28="N/A",1,IF(K28&lt;=Q$11,1,IF(K28=R$11,2,IF(K28&lt;R$11,(((K28-Q$11)/U$7)+1),IF(K28=S$11,3,IF(K28&lt;S$11,(((K28-R$11)/U$7)+2),IF(K28=T$11,4,IF(K28&lt;T$11,(((K28-S$11)/U$7)+3),IF(K28&gt;=U$11,5,IF(K28&lt;U$11,(((K28-T$11)/U$7)+4),0)))))))))))</f>
        <v>5</v>
      </c>
      <c r="M28" s="82" t="str">
        <f>IF(L28=5,"ü","û")</f>
        <v>ü</v>
      </c>
      <c r="N28" s="31"/>
      <c r="O28" s="83"/>
    </row>
    <row r="29" spans="1:15" s="6" customFormat="1" x14ac:dyDescent="0.2">
      <c r="A29" s="34">
        <v>1</v>
      </c>
      <c r="B29" s="47" t="s">
        <v>58</v>
      </c>
      <c r="C29" s="47"/>
      <c r="D29" s="36">
        <v>50000</v>
      </c>
      <c r="E29" s="90">
        <v>88100</v>
      </c>
      <c r="F29" s="90">
        <v>0</v>
      </c>
      <c r="G29" s="39">
        <f t="shared" si="0"/>
        <v>88100</v>
      </c>
      <c r="H29" s="90">
        <v>0</v>
      </c>
      <c r="I29" s="39">
        <f>G29+H29</f>
        <v>88100</v>
      </c>
      <c r="J29" s="40">
        <v>49</v>
      </c>
      <c r="K29" s="41">
        <f>IFERROR(ROUND((I29/J29),2),0)</f>
        <v>1797.96</v>
      </c>
      <c r="L29" s="42">
        <f>IF(K29=0,0,IF(K29="N/A",1,IF(K29&lt;=Q$11,1,IF(K29=R$11,2,IF(K29&lt;R$11,(((K29-Q$11)/U$7)+1),IF(K29=S$11,3,IF(K29&lt;S$11,(((K29-R$11)/U$7)+2),IF(K29=T$11,4,IF(K29&lt;T$11,(((K29-S$11)/U$7)+3),IF(K29&gt;=U$11,5,IF(K29&lt;U$11,(((K29-T$11)/U$7)+4),0)))))))))))</f>
        <v>1</v>
      </c>
      <c r="M29" s="43" t="str">
        <f t="shared" ref="M29:M30" si="9">IF(L29=5,"ü","û")</f>
        <v>û</v>
      </c>
      <c r="N29" s="44">
        <v>1797.96</v>
      </c>
      <c r="O29" s="45" t="s">
        <v>29</v>
      </c>
    </row>
    <row r="30" spans="1:15" s="6" customFormat="1" x14ac:dyDescent="0.2">
      <c r="A30" s="34">
        <v>2</v>
      </c>
      <c r="B30" s="47" t="s">
        <v>59</v>
      </c>
      <c r="C30" s="47"/>
      <c r="D30" s="36">
        <v>50000</v>
      </c>
      <c r="E30" s="90">
        <v>268350</v>
      </c>
      <c r="F30" s="90">
        <f>415657.3+7379186.85</f>
        <v>7794844.1499999994</v>
      </c>
      <c r="G30" s="39">
        <f t="shared" si="0"/>
        <v>8063194.1499999994</v>
      </c>
      <c r="H30" s="90">
        <v>0</v>
      </c>
      <c r="I30" s="39">
        <f t="shared" si="4"/>
        <v>8063194.1499999994</v>
      </c>
      <c r="J30" s="40">
        <v>58</v>
      </c>
      <c r="K30" s="41">
        <f>IFERROR(ROUND((I30/J30),2),0)</f>
        <v>139020.59</v>
      </c>
      <c r="L30" s="42">
        <f>IF(K30=0,0,IF(K30="N/A",1,IF(K30&lt;=Q$11,1,IF(K30=R$11,2,IF(K30&lt;R$11,(((K30-Q$11)/U$7)+1),IF(K30=S$11,3,IF(K30&lt;S$11,(((K30-R$11)/U$7)+2),IF(K30=T$11,4,IF(K30&lt;T$11,(((K30-S$11)/U$7)+3),IF(K30&gt;=U$11,5,IF(K30&lt;U$11,(((K30-T$11)/U$7)+4),0)))))))))))</f>
        <v>5</v>
      </c>
      <c r="M30" s="43" t="str">
        <f t="shared" si="9"/>
        <v>ü</v>
      </c>
      <c r="N30" s="44">
        <v>124049.14</v>
      </c>
      <c r="O30" s="45" t="s">
        <v>29</v>
      </c>
    </row>
    <row r="31" spans="1:15" s="6" customFormat="1" x14ac:dyDescent="0.55000000000000004">
      <c r="A31" s="91" t="s">
        <v>22</v>
      </c>
      <c r="B31" s="92"/>
      <c r="C31" s="93"/>
      <c r="D31" s="94"/>
      <c r="E31" s="95">
        <f>E7+E23+E28</f>
        <v>4154695</v>
      </c>
      <c r="F31" s="95">
        <f>F7+F23+F28</f>
        <v>41705910</v>
      </c>
      <c r="G31" s="96">
        <f>E31+F31</f>
        <v>45860605</v>
      </c>
      <c r="H31" s="95">
        <f>H7+H23+H28</f>
        <v>145670624</v>
      </c>
      <c r="I31" s="96">
        <f t="shared" si="4"/>
        <v>191531229</v>
      </c>
      <c r="J31" s="97">
        <f>J7+J23+J28</f>
        <v>895</v>
      </c>
      <c r="K31" s="98">
        <f>IFERROR(ROUND((I31/J31),2),0)</f>
        <v>214001.37</v>
      </c>
      <c r="L31" s="99"/>
      <c r="M31" s="100"/>
      <c r="N31" s="101"/>
      <c r="O31" s="101"/>
    </row>
    <row r="32" spans="1:15" s="6" customFormat="1" x14ac:dyDescent="0.2">
      <c r="A32" s="50"/>
      <c r="B32" s="102" t="s">
        <v>60</v>
      </c>
      <c r="C32" s="102"/>
      <c r="D32" s="103"/>
      <c r="E32" s="104">
        <f>E17+E24</f>
        <v>157975</v>
      </c>
      <c r="F32" s="104">
        <f>F17+F24</f>
        <v>0</v>
      </c>
      <c r="G32" s="105">
        <f>E32+F32</f>
        <v>157975</v>
      </c>
      <c r="H32" s="104">
        <f>H17+H24</f>
        <v>1645000</v>
      </c>
      <c r="I32" s="106">
        <f>G32+H32</f>
        <v>1802975</v>
      </c>
      <c r="J32" s="107">
        <f>J17+J24</f>
        <v>79</v>
      </c>
      <c r="K32" s="108">
        <f>IFERROR(ROUND((I32/J32),2),0)</f>
        <v>22822.47</v>
      </c>
      <c r="L32" s="109">
        <f>IF(K32=0,0,IF(K32="N/A",1,IF(K32&lt;=Q$9,1,IF(K32=R$9,2,IF(K32&lt;R$9,(((K32-Q$9)/U$7)+1),IF(K32=S$9,3,IF(K32&lt;S$9,(((K32-R$9)/U$7)+2),IF(K32=T$9,4,IF(K32&lt;T$9,(((K32-S$9)/U$7)+3),IF(K32&gt;=U$9,5,IF(K32&lt;U$9,(((K32-T$9)/U$7)+4),0)))))))))))</f>
        <v>4.5644939999999998</v>
      </c>
      <c r="M32" s="110" t="str">
        <f>IF(L32=5,"ü","û")</f>
        <v>û</v>
      </c>
      <c r="N32" s="111"/>
      <c r="O32" s="111"/>
    </row>
    <row r="33" spans="1:15" s="6" customFormat="1" x14ac:dyDescent="0.2"/>
    <row r="34" spans="1:15" s="6" customFormat="1" ht="55.5" x14ac:dyDescent="0.2">
      <c r="A34" s="112" t="s">
        <v>61</v>
      </c>
      <c r="B34" s="112"/>
      <c r="C34" s="113" t="s">
        <v>62</v>
      </c>
      <c r="D34" s="113"/>
      <c r="E34" s="113"/>
      <c r="F34" s="113"/>
      <c r="G34" s="113"/>
      <c r="H34" s="113"/>
      <c r="I34" s="113"/>
      <c r="J34" s="113"/>
      <c r="K34" s="114" t="s">
        <v>2</v>
      </c>
      <c r="L34" s="114" t="s">
        <v>63</v>
      </c>
      <c r="M34" s="114" t="s">
        <v>17</v>
      </c>
      <c r="N34" s="115" t="s">
        <v>18</v>
      </c>
      <c r="O34" s="116" t="s">
        <v>19</v>
      </c>
    </row>
    <row r="35" spans="1:15" s="6" customFormat="1" ht="21" customHeight="1" x14ac:dyDescent="0.2">
      <c r="A35" s="112"/>
      <c r="B35" s="112"/>
      <c r="C35" s="113"/>
      <c r="D35" s="113"/>
      <c r="E35" s="113"/>
      <c r="F35" s="113"/>
      <c r="G35" s="113"/>
      <c r="H35" s="113"/>
      <c r="I35" s="113"/>
      <c r="J35" s="113"/>
      <c r="K35" s="117">
        <v>3</v>
      </c>
      <c r="L35" s="118">
        <v>3</v>
      </c>
      <c r="M35" s="119" t="str">
        <f t="shared" ref="M35" si="10">IF(L35=5,"ü","û")</f>
        <v>û</v>
      </c>
      <c r="N35" s="120">
        <v>4</v>
      </c>
      <c r="O35" s="121" t="s">
        <v>64</v>
      </c>
    </row>
    <row r="36" spans="1:15" s="6" customFormat="1" x14ac:dyDescent="0.2"/>
    <row r="37" spans="1:15" s="6" customFormat="1" x14ac:dyDescent="0.2"/>
    <row r="38" spans="1:15" s="6" customFormat="1" x14ac:dyDescent="0.2"/>
    <row r="39" spans="1:15" s="6" customFormat="1" x14ac:dyDescent="0.2"/>
    <row r="40" spans="1:15" s="6" customFormat="1" x14ac:dyDescent="0.2"/>
    <row r="41" spans="1:15" s="6" customFormat="1" x14ac:dyDescent="0.2"/>
    <row r="42" spans="1:15" s="6" customFormat="1" x14ac:dyDescent="0.2"/>
    <row r="43" spans="1:15" s="6" customFormat="1" x14ac:dyDescent="0.2"/>
    <row r="44" spans="1:15" s="6" customFormat="1" x14ac:dyDescent="0.2"/>
    <row r="45" spans="1:15" s="6" customFormat="1" ht="48" x14ac:dyDescent="0.2">
      <c r="A45" s="6" t="str">
        <f t="shared" ref="A45:K60" si="11">A4</f>
        <v>ลำดับ</v>
      </c>
      <c r="B45" s="6" t="str">
        <f t="shared" si="11"/>
        <v>หน่วยงาน</v>
      </c>
      <c r="C45" s="6" t="s">
        <v>11</v>
      </c>
      <c r="D45" s="6" t="str">
        <f t="shared" si="11"/>
        <v>เป้าหมาย</v>
      </c>
      <c r="E45" s="6" t="str">
        <f>E4</f>
        <v>เงินสนับสนุนงานวิจัยและงานสร้างสรรค์ต่อจำนวนอาจารย์ประจำ</v>
      </c>
      <c r="F45" s="6">
        <f t="shared" si="11"/>
        <v>0</v>
      </c>
      <c r="G45" s="6" t="s">
        <v>65</v>
      </c>
      <c r="H45" s="6">
        <f t="shared" si="11"/>
        <v>0</v>
      </c>
      <c r="I45" s="6" t="s">
        <v>65</v>
      </c>
      <c r="J45" s="122" t="s">
        <v>66</v>
      </c>
      <c r="K45" s="6" t="s">
        <v>67</v>
      </c>
    </row>
    <row r="46" spans="1:15" s="6" customFormat="1" hidden="1" x14ac:dyDescent="0.2">
      <c r="A46" s="6">
        <f t="shared" si="11"/>
        <v>0</v>
      </c>
      <c r="B46" s="6">
        <f t="shared" si="11"/>
        <v>0</v>
      </c>
      <c r="C46" s="6">
        <f t="shared" si="11"/>
        <v>0</v>
      </c>
      <c r="D46" s="6">
        <f t="shared" si="11"/>
        <v>0</v>
      </c>
      <c r="E46" s="6" t="str">
        <f t="shared" si="11"/>
        <v>แหล่งทุนภายใน</v>
      </c>
      <c r="F46" s="6">
        <f t="shared" si="11"/>
        <v>0</v>
      </c>
      <c r="G46" s="6">
        <f t="shared" si="11"/>
        <v>0</v>
      </c>
      <c r="H46" s="6" t="str">
        <f t="shared" si="11"/>
        <v>แหล่งทุนภายนอก</v>
      </c>
      <c r="I46" s="6" t="str">
        <f t="shared" si="11"/>
        <v>รวม</v>
      </c>
      <c r="K46" s="6">
        <f t="shared" si="11"/>
        <v>0</v>
      </c>
    </row>
    <row r="47" spans="1:15" s="6" customFormat="1" hidden="1" x14ac:dyDescent="0.2">
      <c r="A47" s="6">
        <f t="shared" si="11"/>
        <v>0</v>
      </c>
      <c r="B47" s="6">
        <f t="shared" si="11"/>
        <v>0</v>
      </c>
      <c r="C47" s="6">
        <f t="shared" si="11"/>
        <v>0</v>
      </c>
      <c r="D47" s="6">
        <f t="shared" si="11"/>
        <v>0</v>
      </c>
      <c r="E47" s="6" t="str">
        <f t="shared" si="11"/>
        <v>งบประมาณรายได้</v>
      </c>
      <c r="F47" s="6" t="str">
        <f t="shared" si="11"/>
        <v>งบประมาณแผ่นดิน</v>
      </c>
      <c r="G47" s="6" t="str">
        <f t="shared" si="11"/>
        <v>รวม</v>
      </c>
      <c r="H47" s="6" t="str">
        <f t="shared" si="11"/>
        <v>งบประมาณภายนอก</v>
      </c>
      <c r="I47" s="6">
        <f t="shared" si="11"/>
        <v>0</v>
      </c>
      <c r="K47" s="6">
        <f t="shared" si="11"/>
        <v>0</v>
      </c>
    </row>
    <row r="48" spans="1:15" s="6" customFormat="1" hidden="1" x14ac:dyDescent="0.2">
      <c r="B48" s="6">
        <f t="shared" si="11"/>
        <v>0</v>
      </c>
      <c r="C48" s="6">
        <f t="shared" si="11"/>
        <v>0</v>
      </c>
      <c r="D48" s="6">
        <f t="shared" si="11"/>
        <v>25000</v>
      </c>
      <c r="E48" s="6">
        <f t="shared" si="11"/>
        <v>2937975</v>
      </c>
      <c r="F48" s="6">
        <f t="shared" si="11"/>
        <v>24779196.800000001</v>
      </c>
      <c r="G48" s="6">
        <f t="shared" si="11"/>
        <v>27717171.800000001</v>
      </c>
      <c r="H48" s="6">
        <f t="shared" si="11"/>
        <v>36247434</v>
      </c>
      <c r="I48" s="6">
        <f t="shared" si="11"/>
        <v>63964605.799999997</v>
      </c>
      <c r="J48" s="6">
        <f t="shared" si="11"/>
        <v>602</v>
      </c>
      <c r="K48" s="6">
        <f t="shared" si="11"/>
        <v>106253.5</v>
      </c>
    </row>
    <row r="49" spans="1:11" s="6" customFormat="1" x14ac:dyDescent="0.2">
      <c r="A49" s="123" t="s">
        <v>36</v>
      </c>
      <c r="B49" s="6" t="str">
        <f t="shared" si="11"/>
        <v>1) คณะครุศาสตร์</v>
      </c>
      <c r="C49" s="6" t="s">
        <v>68</v>
      </c>
      <c r="D49" s="6">
        <f t="shared" si="11"/>
        <v>25000</v>
      </c>
      <c r="E49" s="6">
        <f t="shared" si="11"/>
        <v>297340</v>
      </c>
      <c r="F49" s="6">
        <f t="shared" si="11"/>
        <v>180200</v>
      </c>
      <c r="G49" s="6">
        <f t="shared" si="11"/>
        <v>477540</v>
      </c>
      <c r="H49" s="6">
        <f t="shared" si="11"/>
        <v>12500</v>
      </c>
      <c r="I49" s="6">
        <f t="shared" si="11"/>
        <v>490040</v>
      </c>
      <c r="J49" s="6">
        <f t="shared" si="11"/>
        <v>54</v>
      </c>
      <c r="K49" s="6">
        <f t="shared" si="11"/>
        <v>9074.81</v>
      </c>
    </row>
    <row r="50" spans="1:11" s="6" customFormat="1" x14ac:dyDescent="0.2">
      <c r="A50" s="123"/>
      <c r="B50" s="6" t="str">
        <f t="shared" si="11"/>
        <v>2) คณะมนุษยศาสตร์และสังคมศาสตร์</v>
      </c>
      <c r="C50" s="6" t="s">
        <v>69</v>
      </c>
      <c r="D50" s="6">
        <f t="shared" si="11"/>
        <v>25000</v>
      </c>
      <c r="E50" s="6">
        <f t="shared" si="11"/>
        <v>177740</v>
      </c>
      <c r="F50" s="6">
        <f t="shared" si="11"/>
        <v>1015780.8</v>
      </c>
      <c r="G50" s="6">
        <f t="shared" si="11"/>
        <v>1193520.8</v>
      </c>
      <c r="H50" s="6">
        <f t="shared" si="11"/>
        <v>3213725</v>
      </c>
      <c r="I50" s="6">
        <f t="shared" si="11"/>
        <v>4407245.8</v>
      </c>
      <c r="J50" s="6">
        <f t="shared" si="11"/>
        <v>51</v>
      </c>
      <c r="K50" s="6">
        <f t="shared" si="11"/>
        <v>86416.58</v>
      </c>
    </row>
    <row r="51" spans="1:11" s="6" customFormat="1" x14ac:dyDescent="0.2">
      <c r="A51" s="123"/>
      <c r="B51" s="6" t="str">
        <f t="shared" si="11"/>
        <v>3) คณะวิทยาการจัดการ</v>
      </c>
      <c r="C51" s="6" t="s">
        <v>70</v>
      </c>
      <c r="D51" s="6">
        <f t="shared" si="11"/>
        <v>25000</v>
      </c>
      <c r="E51" s="6">
        <f t="shared" si="11"/>
        <v>120270</v>
      </c>
      <c r="F51" s="6">
        <f t="shared" si="11"/>
        <v>502570</v>
      </c>
      <c r="G51" s="6">
        <f t="shared" si="11"/>
        <v>622840</v>
      </c>
      <c r="H51" s="6">
        <f t="shared" si="11"/>
        <v>1654400</v>
      </c>
      <c r="I51" s="6">
        <f t="shared" si="11"/>
        <v>2277240</v>
      </c>
      <c r="J51" s="6">
        <f t="shared" si="11"/>
        <v>55</v>
      </c>
      <c r="K51" s="6">
        <f t="shared" si="11"/>
        <v>41404.36</v>
      </c>
    </row>
    <row r="52" spans="1:11" s="6" customFormat="1" x14ac:dyDescent="0.2">
      <c r="A52" s="123"/>
      <c r="B52" s="6" t="str">
        <f t="shared" si="11"/>
        <v>4) คณะศิลปกรรมศาสตร์</v>
      </c>
      <c r="C52" s="6" t="s">
        <v>71</v>
      </c>
      <c r="D52" s="6">
        <f t="shared" si="11"/>
        <v>25000</v>
      </c>
      <c r="E52" s="6">
        <f t="shared" si="11"/>
        <v>515000</v>
      </c>
      <c r="F52" s="6">
        <f t="shared" si="11"/>
        <v>9029087</v>
      </c>
      <c r="G52" s="6">
        <f t="shared" si="11"/>
        <v>9544087</v>
      </c>
      <c r="H52" s="6">
        <f t="shared" si="11"/>
        <v>575000</v>
      </c>
      <c r="I52" s="6">
        <f t="shared" si="11"/>
        <v>10119087</v>
      </c>
      <c r="J52" s="6">
        <f t="shared" si="11"/>
        <v>48</v>
      </c>
      <c r="K52" s="6">
        <f t="shared" si="11"/>
        <v>210814.31</v>
      </c>
    </row>
    <row r="53" spans="1:11" s="6" customFormat="1" x14ac:dyDescent="0.2">
      <c r="A53" s="123"/>
      <c r="B53" s="6" t="str">
        <f t="shared" si="11"/>
        <v>5) วิทยาลัยนวัตกรรมและการจัดการ</v>
      </c>
      <c r="C53" s="6" t="s">
        <v>72</v>
      </c>
      <c r="D53" s="6">
        <f t="shared" si="11"/>
        <v>25000</v>
      </c>
      <c r="E53" s="6">
        <f t="shared" si="11"/>
        <v>589780</v>
      </c>
      <c r="F53" s="6">
        <f t="shared" si="11"/>
        <v>10070870.25</v>
      </c>
      <c r="G53" s="6">
        <f t="shared" si="11"/>
        <v>10660650.25</v>
      </c>
      <c r="H53" s="6">
        <f t="shared" si="11"/>
        <v>13409101</v>
      </c>
      <c r="I53" s="6">
        <f t="shared" si="11"/>
        <v>24069751.25</v>
      </c>
      <c r="J53" s="6">
        <f t="shared" si="11"/>
        <v>94</v>
      </c>
      <c r="K53" s="6">
        <f t="shared" si="11"/>
        <v>256061.18</v>
      </c>
    </row>
    <row r="54" spans="1:11" s="6" customFormat="1" x14ac:dyDescent="0.2">
      <c r="A54" s="123"/>
      <c r="B54" s="6" t="str">
        <f t="shared" si="11"/>
        <v>6) วิทยาลัยโลจิสติกส์และซัพพลายเชน</v>
      </c>
      <c r="C54" s="6" t="s">
        <v>73</v>
      </c>
      <c r="D54" s="6">
        <f t="shared" si="11"/>
        <v>25000</v>
      </c>
      <c r="E54" s="6">
        <f t="shared" si="11"/>
        <v>305650</v>
      </c>
      <c r="F54" s="6">
        <f t="shared" si="11"/>
        <v>169149</v>
      </c>
      <c r="G54" s="6">
        <f t="shared" si="11"/>
        <v>474799</v>
      </c>
      <c r="H54" s="6">
        <f t="shared" si="11"/>
        <v>1395000</v>
      </c>
      <c r="I54" s="6">
        <f t="shared" si="11"/>
        <v>1869799</v>
      </c>
      <c r="J54" s="6">
        <f t="shared" si="11"/>
        <v>48</v>
      </c>
      <c r="K54" s="6">
        <f t="shared" si="11"/>
        <v>38954.15</v>
      </c>
    </row>
    <row r="55" spans="1:11" s="6" customFormat="1" x14ac:dyDescent="0.2">
      <c r="A55" s="123"/>
      <c r="B55" s="6" t="str">
        <f t="shared" si="11"/>
        <v>7) วิทยาลัยการเมืองและการปกครอง</v>
      </c>
      <c r="C55" s="6" t="s">
        <v>74</v>
      </c>
      <c r="D55" s="6">
        <f t="shared" si="11"/>
        <v>25000</v>
      </c>
      <c r="E55" s="6">
        <f t="shared" si="11"/>
        <v>292090</v>
      </c>
      <c r="F55" s="6">
        <f t="shared" si="11"/>
        <v>2649784.75</v>
      </c>
      <c r="G55" s="6">
        <f t="shared" si="11"/>
        <v>2941874.75</v>
      </c>
      <c r="H55" s="6">
        <f t="shared" si="11"/>
        <v>884325</v>
      </c>
      <c r="I55" s="6">
        <f t="shared" si="11"/>
        <v>3826199.75</v>
      </c>
      <c r="J55" s="6">
        <f t="shared" si="11"/>
        <v>58</v>
      </c>
      <c r="K55" s="6">
        <f t="shared" si="11"/>
        <v>65968.960000000006</v>
      </c>
    </row>
    <row r="56" spans="1:11" s="6" customFormat="1" x14ac:dyDescent="0.2">
      <c r="A56" s="123"/>
      <c r="B56" s="6" t="str">
        <f t="shared" si="11"/>
        <v>8) วิทยาลัยการจัดการอุตสาหกรรมบริการ</v>
      </c>
      <c r="C56" s="6" t="s">
        <v>75</v>
      </c>
      <c r="D56" s="6">
        <f t="shared" si="11"/>
        <v>25000</v>
      </c>
      <c r="E56" s="6">
        <f t="shared" si="11"/>
        <v>170005</v>
      </c>
      <c r="F56" s="6">
        <f t="shared" si="11"/>
        <v>1128100</v>
      </c>
      <c r="G56" s="6">
        <f t="shared" si="11"/>
        <v>1298105</v>
      </c>
      <c r="H56" s="6">
        <f t="shared" si="11"/>
        <v>7032664</v>
      </c>
      <c r="I56" s="6">
        <f t="shared" si="11"/>
        <v>8330769</v>
      </c>
      <c r="J56" s="6">
        <f t="shared" si="11"/>
        <v>64</v>
      </c>
      <c r="K56" s="6">
        <f t="shared" si="11"/>
        <v>130168.27</v>
      </c>
    </row>
    <row r="57" spans="1:11" s="6" customFormat="1" x14ac:dyDescent="0.2">
      <c r="A57" s="123"/>
      <c r="B57" s="6" t="str">
        <f t="shared" si="11"/>
        <v>9) วิทยาลัยนิเทศศาสตร์</v>
      </c>
      <c r="C57" s="6" t="s">
        <v>76</v>
      </c>
      <c r="D57" s="6">
        <f t="shared" si="11"/>
        <v>25000</v>
      </c>
      <c r="E57" s="6">
        <f t="shared" si="11"/>
        <v>135525</v>
      </c>
      <c r="F57" s="6">
        <f t="shared" si="11"/>
        <v>33655</v>
      </c>
      <c r="G57" s="6">
        <f t="shared" si="11"/>
        <v>169180</v>
      </c>
      <c r="H57" s="6">
        <f t="shared" si="11"/>
        <v>5842075</v>
      </c>
      <c r="I57" s="6">
        <f t="shared" si="11"/>
        <v>6011255</v>
      </c>
      <c r="J57" s="6">
        <f t="shared" si="11"/>
        <v>43</v>
      </c>
      <c r="K57" s="6">
        <f t="shared" si="11"/>
        <v>139796.63</v>
      </c>
    </row>
    <row r="58" spans="1:11" s="6" customFormat="1" x14ac:dyDescent="0.2">
      <c r="A58" s="123"/>
      <c r="B58" s="6" t="str">
        <f t="shared" si="11"/>
        <v>10.1) บัณฑิตวิทยาลัย (กลุ่มมนุษยศาสตร์ฯ)</v>
      </c>
      <c r="C58" s="6" t="s">
        <v>77</v>
      </c>
      <c r="D58" s="6">
        <f t="shared" si="11"/>
        <v>25000</v>
      </c>
      <c r="E58" s="6">
        <f t="shared" si="11"/>
        <v>138375</v>
      </c>
      <c r="F58" s="6">
        <f t="shared" si="11"/>
        <v>0</v>
      </c>
      <c r="G58" s="6">
        <f t="shared" si="11"/>
        <v>138375</v>
      </c>
      <c r="H58" s="6">
        <f t="shared" si="11"/>
        <v>1645000</v>
      </c>
      <c r="I58" s="6">
        <f t="shared" si="11"/>
        <v>1783375</v>
      </c>
      <c r="J58" s="6">
        <f t="shared" si="11"/>
        <v>65</v>
      </c>
      <c r="K58" s="6">
        <f t="shared" si="11"/>
        <v>27436.54</v>
      </c>
    </row>
    <row r="59" spans="1:11" s="6" customFormat="1" x14ac:dyDescent="0.2">
      <c r="A59" s="123"/>
      <c r="B59" s="6" t="str">
        <f t="shared" si="11"/>
        <v>11) ศูนย์การศึกษาจังหวัดอุดรธานี</v>
      </c>
      <c r="C59" s="6" t="s">
        <v>78</v>
      </c>
      <c r="D59" s="6">
        <f t="shared" si="11"/>
        <v>25000</v>
      </c>
      <c r="E59" s="6">
        <f t="shared" si="11"/>
        <v>196200</v>
      </c>
      <c r="F59" s="6">
        <f t="shared" si="11"/>
        <v>0</v>
      </c>
      <c r="G59" s="6">
        <f t="shared" si="11"/>
        <v>196200</v>
      </c>
      <c r="H59" s="6">
        <f t="shared" si="11"/>
        <v>583644</v>
      </c>
      <c r="I59" s="6">
        <f t="shared" si="11"/>
        <v>779844</v>
      </c>
      <c r="J59" s="6">
        <f t="shared" si="11"/>
        <v>22</v>
      </c>
      <c r="K59" s="6">
        <f t="shared" si="11"/>
        <v>35447.449999999997</v>
      </c>
    </row>
    <row r="60" spans="1:11" s="6" customFormat="1" hidden="1" x14ac:dyDescent="0.2">
      <c r="A60" s="123"/>
      <c r="B60" s="6" t="str">
        <f t="shared" si="11"/>
        <v>11.1) วิทยาลัยการเมืองการปกครอง</v>
      </c>
      <c r="C60" s="6">
        <f t="shared" si="11"/>
        <v>0</v>
      </c>
      <c r="D60" s="6">
        <f t="shared" si="11"/>
        <v>0</v>
      </c>
      <c r="E60" s="6">
        <f t="shared" si="11"/>
        <v>54100</v>
      </c>
      <c r="F60" s="6">
        <f t="shared" si="11"/>
        <v>0</v>
      </c>
      <c r="G60" s="6">
        <f t="shared" si="11"/>
        <v>54100</v>
      </c>
      <c r="H60" s="6">
        <f t="shared" si="11"/>
        <v>534548</v>
      </c>
      <c r="I60" s="6">
        <f t="shared" si="11"/>
        <v>0</v>
      </c>
      <c r="J60" s="6">
        <f t="shared" si="11"/>
        <v>7</v>
      </c>
      <c r="K60" s="6">
        <f t="shared" si="11"/>
        <v>0</v>
      </c>
    </row>
    <row r="61" spans="1:11" s="6" customFormat="1" hidden="1" x14ac:dyDescent="0.2">
      <c r="A61" s="123"/>
      <c r="B61" s="6" t="str">
        <f t="shared" ref="B61:K63" si="12">B20</f>
        <v>11.2) วิทยาลัยการจัดการอุตสาหกรรมบริการ</v>
      </c>
      <c r="C61" s="6">
        <f t="shared" si="12"/>
        <v>0</v>
      </c>
      <c r="D61" s="6">
        <f t="shared" si="12"/>
        <v>0</v>
      </c>
      <c r="E61" s="6">
        <f t="shared" si="12"/>
        <v>70900</v>
      </c>
      <c r="F61" s="6">
        <f t="shared" si="12"/>
        <v>0</v>
      </c>
      <c r="G61" s="6">
        <f t="shared" si="12"/>
        <v>70900</v>
      </c>
      <c r="H61" s="6">
        <f t="shared" si="12"/>
        <v>39548</v>
      </c>
      <c r="I61" s="6">
        <f t="shared" si="12"/>
        <v>0</v>
      </c>
      <c r="J61" s="6">
        <f t="shared" si="12"/>
        <v>4</v>
      </c>
      <c r="K61" s="6">
        <f t="shared" si="12"/>
        <v>0</v>
      </c>
    </row>
    <row r="62" spans="1:11" s="6" customFormat="1" hidden="1" x14ac:dyDescent="0.2">
      <c r="A62" s="123"/>
      <c r="B62" s="6" t="str">
        <f t="shared" si="12"/>
        <v>11.3) วิทยาลัยนวัตกรรมและการจัดการ</v>
      </c>
      <c r="C62" s="6">
        <f t="shared" si="12"/>
        <v>0</v>
      </c>
      <c r="D62" s="6">
        <f t="shared" si="12"/>
        <v>0</v>
      </c>
      <c r="E62" s="6">
        <f t="shared" si="12"/>
        <v>41000</v>
      </c>
      <c r="F62" s="6">
        <f t="shared" si="12"/>
        <v>0</v>
      </c>
      <c r="G62" s="6">
        <f t="shared" si="12"/>
        <v>41000</v>
      </c>
      <c r="H62" s="6">
        <f t="shared" si="12"/>
        <v>9548</v>
      </c>
      <c r="I62" s="6">
        <f t="shared" si="12"/>
        <v>0</v>
      </c>
      <c r="J62" s="6">
        <f t="shared" si="12"/>
        <v>5</v>
      </c>
      <c r="K62" s="6">
        <f t="shared" si="12"/>
        <v>0</v>
      </c>
    </row>
    <row r="63" spans="1:11" s="6" customFormat="1" hidden="1" x14ac:dyDescent="0.2">
      <c r="A63" s="123"/>
      <c r="B63" s="6" t="str">
        <f t="shared" si="12"/>
        <v>11.4) วิทยาลัยโลจิสติกส์และซัพพลายเชน</v>
      </c>
      <c r="C63" s="6">
        <f t="shared" si="12"/>
        <v>0</v>
      </c>
      <c r="D63" s="6">
        <f t="shared" si="12"/>
        <v>0</v>
      </c>
      <c r="E63" s="6">
        <f t="shared" si="12"/>
        <v>30200</v>
      </c>
      <c r="F63" s="6">
        <f t="shared" si="12"/>
        <v>0</v>
      </c>
      <c r="G63" s="6">
        <f t="shared" si="12"/>
        <v>30200</v>
      </c>
      <c r="H63" s="6">
        <f t="shared" si="12"/>
        <v>0</v>
      </c>
      <c r="I63" s="6">
        <f t="shared" si="12"/>
        <v>0</v>
      </c>
      <c r="J63" s="6">
        <f t="shared" si="12"/>
        <v>5</v>
      </c>
      <c r="K63" s="6">
        <f t="shared" si="12"/>
        <v>0</v>
      </c>
    </row>
    <row r="64" spans="1:11" s="6" customFormat="1" hidden="1" x14ac:dyDescent="0.2">
      <c r="A64" s="6" t="str">
        <f t="shared" ref="A64:K68" si="13">A23</f>
        <v>2.กลุ่มสาขาวิชาวิทยาศาสตร์และเทคโนโลยี</v>
      </c>
      <c r="B64" s="6">
        <f t="shared" si="13"/>
        <v>0</v>
      </c>
      <c r="C64" s="6">
        <f t="shared" si="13"/>
        <v>0</v>
      </c>
      <c r="D64" s="6">
        <f t="shared" si="13"/>
        <v>60000</v>
      </c>
      <c r="E64" s="6">
        <f t="shared" si="13"/>
        <v>860270</v>
      </c>
      <c r="F64" s="6">
        <f t="shared" si="13"/>
        <v>9131869.0500000007</v>
      </c>
      <c r="G64" s="6">
        <f t="shared" si="13"/>
        <v>9992139.0500000007</v>
      </c>
      <c r="H64" s="6">
        <f t="shared" si="13"/>
        <v>109423190</v>
      </c>
      <c r="I64" s="6">
        <f t="shared" si="13"/>
        <v>119415329.05</v>
      </c>
      <c r="J64" s="6">
        <f t="shared" si="13"/>
        <v>186</v>
      </c>
      <c r="K64" s="6">
        <f t="shared" si="13"/>
        <v>642017.9</v>
      </c>
    </row>
    <row r="65" spans="1:11" s="6" customFormat="1" x14ac:dyDescent="0.2">
      <c r="A65" s="124" t="s">
        <v>38</v>
      </c>
      <c r="B65" s="6" t="str">
        <f t="shared" si="13"/>
        <v>10.2)  บัณฑิตวิทยาลัย (กลุ่มวิทยาศาสตร์ฯ)</v>
      </c>
      <c r="C65" s="6" t="s">
        <v>79</v>
      </c>
      <c r="D65" s="6">
        <f t="shared" si="13"/>
        <v>60000</v>
      </c>
      <c r="E65" s="6">
        <f t="shared" si="13"/>
        <v>19600</v>
      </c>
      <c r="F65" s="6">
        <f t="shared" si="13"/>
        <v>0</v>
      </c>
      <c r="G65" s="6">
        <f t="shared" si="13"/>
        <v>19600</v>
      </c>
      <c r="H65" s="6">
        <f t="shared" si="13"/>
        <v>0</v>
      </c>
      <c r="I65" s="6">
        <f t="shared" si="13"/>
        <v>19600</v>
      </c>
      <c r="J65" s="6">
        <f t="shared" si="13"/>
        <v>14</v>
      </c>
      <c r="K65" s="6">
        <f t="shared" si="13"/>
        <v>1400</v>
      </c>
    </row>
    <row r="66" spans="1:11" s="6" customFormat="1" x14ac:dyDescent="0.2">
      <c r="A66" s="124"/>
      <c r="B66" s="6" t="str">
        <f t="shared" si="13"/>
        <v>12) คณะวิทยาศาสตร์และเทคโนโลยี</v>
      </c>
      <c r="C66" s="6" t="s">
        <v>80</v>
      </c>
      <c r="D66" s="6">
        <f t="shared" si="13"/>
        <v>60000</v>
      </c>
      <c r="E66" s="6">
        <f t="shared" si="13"/>
        <v>599460</v>
      </c>
      <c r="F66" s="6">
        <f t="shared" si="13"/>
        <v>5991146.0499999998</v>
      </c>
      <c r="G66" s="6">
        <f t="shared" si="13"/>
        <v>6590606.0499999998</v>
      </c>
      <c r="H66" s="6">
        <f t="shared" si="13"/>
        <v>77524205</v>
      </c>
      <c r="I66" s="6">
        <f t="shared" si="13"/>
        <v>84114811.049999997</v>
      </c>
      <c r="J66" s="6">
        <f t="shared" si="13"/>
        <v>105</v>
      </c>
      <c r="K66" s="6">
        <f t="shared" si="13"/>
        <v>801093.44</v>
      </c>
    </row>
    <row r="67" spans="1:11" s="6" customFormat="1" x14ac:dyDescent="0.2">
      <c r="A67" s="124"/>
      <c r="B67" s="6" t="str">
        <f t="shared" si="13"/>
        <v>13) คณะเทคโนโลยีอุตสาหกรรม</v>
      </c>
      <c r="C67" s="6" t="s">
        <v>81</v>
      </c>
      <c r="D67" s="6">
        <f t="shared" si="13"/>
        <v>60000</v>
      </c>
      <c r="E67" s="6">
        <f t="shared" si="13"/>
        <v>228410</v>
      </c>
      <c r="F67" s="6">
        <f t="shared" si="13"/>
        <v>3029373</v>
      </c>
      <c r="G67" s="6">
        <f t="shared" si="13"/>
        <v>3257783</v>
      </c>
      <c r="H67" s="6">
        <f t="shared" si="13"/>
        <v>28498985</v>
      </c>
      <c r="I67" s="6">
        <f t="shared" si="13"/>
        <v>31756768</v>
      </c>
      <c r="J67" s="6">
        <f t="shared" si="13"/>
        <v>55</v>
      </c>
      <c r="K67" s="6">
        <f t="shared" si="13"/>
        <v>577395.78</v>
      </c>
    </row>
    <row r="68" spans="1:11" s="6" customFormat="1" x14ac:dyDescent="0.2">
      <c r="A68" s="124"/>
      <c r="B68" s="6" t="str">
        <f>B27</f>
        <v xml:space="preserve">   14) วิทยาลัยสถาปัตยกรรมศาสตร์</v>
      </c>
      <c r="C68" s="6" t="s">
        <v>82</v>
      </c>
      <c r="D68" s="6">
        <f t="shared" si="13"/>
        <v>60000</v>
      </c>
      <c r="E68" s="6">
        <f t="shared" si="13"/>
        <v>12800</v>
      </c>
      <c r="F68" s="6">
        <f t="shared" si="13"/>
        <v>111350</v>
      </c>
      <c r="G68" s="6">
        <f t="shared" si="13"/>
        <v>124150</v>
      </c>
      <c r="H68" s="6">
        <f t="shared" si="13"/>
        <v>3400000</v>
      </c>
      <c r="I68" s="6">
        <f t="shared" si="13"/>
        <v>3524150</v>
      </c>
      <c r="J68" s="6">
        <f t="shared" si="13"/>
        <v>12</v>
      </c>
      <c r="K68" s="6">
        <f t="shared" si="13"/>
        <v>293679.17</v>
      </c>
    </row>
    <row r="69" spans="1:11" s="6" customFormat="1" hidden="1" x14ac:dyDescent="0.2">
      <c r="B69" s="6">
        <f t="shared" ref="B69:K70" si="14">B28</f>
        <v>0</v>
      </c>
      <c r="C69" s="6">
        <f t="shared" si="14"/>
        <v>0</v>
      </c>
      <c r="D69" s="6">
        <f t="shared" si="14"/>
        <v>50000</v>
      </c>
      <c r="E69" s="6">
        <f t="shared" si="14"/>
        <v>356450</v>
      </c>
      <c r="F69" s="6">
        <f t="shared" si="14"/>
        <v>7794844.1499999994</v>
      </c>
      <c r="G69" s="6">
        <f t="shared" si="14"/>
        <v>8151294.1499999994</v>
      </c>
      <c r="H69" s="6">
        <f t="shared" si="14"/>
        <v>0</v>
      </c>
      <c r="I69" s="6">
        <f t="shared" si="14"/>
        <v>8151294.1499999994</v>
      </c>
      <c r="J69" s="6">
        <f t="shared" si="14"/>
        <v>107</v>
      </c>
      <c r="K69" s="6">
        <f t="shared" si="14"/>
        <v>76180.320000000007</v>
      </c>
    </row>
    <row r="70" spans="1:11" s="6" customFormat="1" x14ac:dyDescent="0.2">
      <c r="A70" s="6" t="s">
        <v>83</v>
      </c>
      <c r="B70" s="6" t="str">
        <f t="shared" si="14"/>
        <v>15) วิทยาลัยพยาบาลและสุขภาพ</v>
      </c>
      <c r="C70" s="6" t="s">
        <v>84</v>
      </c>
      <c r="D70" s="6">
        <f t="shared" si="14"/>
        <v>50000</v>
      </c>
      <c r="E70" s="6">
        <f t="shared" si="14"/>
        <v>88100</v>
      </c>
      <c r="F70" s="6">
        <f t="shared" si="14"/>
        <v>0</v>
      </c>
      <c r="G70" s="6">
        <f t="shared" si="14"/>
        <v>88100</v>
      </c>
      <c r="H70" s="6">
        <f t="shared" si="14"/>
        <v>0</v>
      </c>
      <c r="I70" s="6">
        <f t="shared" si="14"/>
        <v>88100</v>
      </c>
      <c r="J70" s="6">
        <f t="shared" si="14"/>
        <v>49</v>
      </c>
      <c r="K70" s="6">
        <f t="shared" si="14"/>
        <v>1797.96</v>
      </c>
    </row>
    <row r="71" spans="1:11" s="6" customFormat="1" x14ac:dyDescent="0.2">
      <c r="A71" s="6">
        <f t="shared" ref="A71:K72" si="15">A30</f>
        <v>2</v>
      </c>
      <c r="B71" s="6" t="str">
        <f t="shared" si="15"/>
        <v>16) วิทยาลัยสหเวชศาสตร์</v>
      </c>
      <c r="C71" s="6" t="s">
        <v>85</v>
      </c>
      <c r="D71" s="6">
        <f t="shared" si="15"/>
        <v>50000</v>
      </c>
      <c r="E71" s="6">
        <f t="shared" si="15"/>
        <v>268350</v>
      </c>
      <c r="F71" s="6">
        <f t="shared" si="15"/>
        <v>7794844.1499999994</v>
      </c>
      <c r="G71" s="6">
        <f t="shared" si="15"/>
        <v>8063194.1499999994</v>
      </c>
      <c r="H71" s="6">
        <f t="shared" si="15"/>
        <v>0</v>
      </c>
      <c r="I71" s="6">
        <f t="shared" si="15"/>
        <v>8063194.1499999994</v>
      </c>
      <c r="J71" s="6">
        <f t="shared" si="15"/>
        <v>58</v>
      </c>
      <c r="K71" s="6">
        <f t="shared" si="15"/>
        <v>139020.59</v>
      </c>
    </row>
    <row r="72" spans="1:11" s="6" customFormat="1" x14ac:dyDescent="0.2">
      <c r="A72" s="6" t="s">
        <v>86</v>
      </c>
      <c r="B72" s="6">
        <f t="shared" si="15"/>
        <v>0</v>
      </c>
      <c r="C72" s="6" t="s">
        <v>86</v>
      </c>
      <c r="D72" s="6">
        <f t="shared" si="15"/>
        <v>0</v>
      </c>
      <c r="E72" s="6">
        <f t="shared" si="15"/>
        <v>4154695</v>
      </c>
      <c r="F72" s="6">
        <f t="shared" si="15"/>
        <v>41705910</v>
      </c>
      <c r="G72" s="6">
        <f t="shared" si="15"/>
        <v>45860605</v>
      </c>
      <c r="H72" s="6">
        <f t="shared" si="15"/>
        <v>145670624</v>
      </c>
      <c r="I72" s="6">
        <f t="shared" si="15"/>
        <v>191531229</v>
      </c>
      <c r="J72" s="6">
        <f t="shared" si="15"/>
        <v>895</v>
      </c>
      <c r="K72" s="6">
        <f t="shared" si="15"/>
        <v>214001.37</v>
      </c>
    </row>
    <row r="73" spans="1:11" s="6" customFormat="1" x14ac:dyDescent="0.2">
      <c r="A73" s="6">
        <f t="shared" ref="A73:K73" si="16">A32</f>
        <v>0</v>
      </c>
      <c r="B73" s="6" t="str">
        <f t="shared" si="16"/>
        <v>10) บัณฑิตวิทยาลัย (กลุ่มมนุษยศาสตร์ฯ+วิทยาศาสตร์ฯ)</v>
      </c>
      <c r="C73" s="6">
        <f t="shared" si="16"/>
        <v>0</v>
      </c>
      <c r="D73" s="6">
        <f t="shared" si="16"/>
        <v>0</v>
      </c>
      <c r="E73" s="6">
        <f t="shared" si="16"/>
        <v>157975</v>
      </c>
      <c r="F73" s="6">
        <f t="shared" si="16"/>
        <v>0</v>
      </c>
      <c r="G73" s="6">
        <f t="shared" si="16"/>
        <v>157975</v>
      </c>
      <c r="H73" s="6">
        <f t="shared" si="16"/>
        <v>1645000</v>
      </c>
      <c r="I73" s="6">
        <f t="shared" si="16"/>
        <v>1802975</v>
      </c>
      <c r="J73" s="6">
        <f t="shared" si="16"/>
        <v>79</v>
      </c>
      <c r="K73" s="6">
        <f t="shared" si="16"/>
        <v>22822.47</v>
      </c>
    </row>
    <row r="74" spans="1:11" s="6" customFormat="1" x14ac:dyDescent="0.2"/>
    <row r="75" spans="1:11" s="6" customFormat="1" x14ac:dyDescent="0.2"/>
    <row r="76" spans="1:11" s="6" customFormat="1" x14ac:dyDescent="0.2"/>
    <row r="77" spans="1:11" s="6" customFormat="1" x14ac:dyDescent="0.2"/>
    <row r="78" spans="1:11" s="6" customFormat="1" ht="48" x14ac:dyDescent="0.2">
      <c r="A78" s="6" t="s">
        <v>87</v>
      </c>
      <c r="I78" s="6" t="s">
        <v>65</v>
      </c>
      <c r="J78" s="122" t="s">
        <v>66</v>
      </c>
      <c r="K78" s="6" t="s">
        <v>67</v>
      </c>
    </row>
    <row r="79" spans="1:11" s="6" customFormat="1" x14ac:dyDescent="0.2">
      <c r="A79" s="6" t="s">
        <v>88</v>
      </c>
      <c r="I79" s="125">
        <f t="shared" ref="I79:K79" si="17">I7</f>
        <v>63964605.799999997</v>
      </c>
      <c r="J79" s="125">
        <f t="shared" si="17"/>
        <v>602</v>
      </c>
      <c r="K79" s="125">
        <f t="shared" si="17"/>
        <v>106253.5</v>
      </c>
    </row>
    <row r="80" spans="1:11" s="6" customFormat="1" x14ac:dyDescent="0.2">
      <c r="A80" s="6" t="s">
        <v>89</v>
      </c>
      <c r="I80" s="125">
        <f t="shared" ref="I80:K80" si="18">I23</f>
        <v>119415329.05</v>
      </c>
      <c r="J80" s="125">
        <f t="shared" si="18"/>
        <v>186</v>
      </c>
      <c r="K80" s="125">
        <f t="shared" si="18"/>
        <v>642017.9</v>
      </c>
    </row>
    <row r="81" spans="1:11" s="6" customFormat="1" x14ac:dyDescent="0.2">
      <c r="A81" s="6" t="s">
        <v>90</v>
      </c>
      <c r="I81" s="125">
        <f t="shared" ref="I81:K81" si="19">I28</f>
        <v>8151294.1499999994</v>
      </c>
      <c r="J81" s="125">
        <f t="shared" si="19"/>
        <v>107</v>
      </c>
      <c r="K81" s="125">
        <f t="shared" si="19"/>
        <v>76180.320000000007</v>
      </c>
    </row>
    <row r="82" spans="1:11" s="6" customFormat="1" x14ac:dyDescent="0.2"/>
    <row r="83" spans="1:11" s="6" customFormat="1" x14ac:dyDescent="0.2"/>
    <row r="84" spans="1:11" s="6" customFormat="1" x14ac:dyDescent="0.2"/>
    <row r="85" spans="1:11" s="6" customFormat="1" x14ac:dyDescent="0.2"/>
    <row r="86" spans="1:11" s="6" customFormat="1" x14ac:dyDescent="0.2"/>
    <row r="87" spans="1:11" s="6" customFormat="1" x14ac:dyDescent="0.2"/>
    <row r="88" spans="1:11" s="6" customFormat="1" x14ac:dyDescent="0.2"/>
    <row r="89" spans="1:11" s="6" customFormat="1" x14ac:dyDescent="0.2"/>
    <row r="90" spans="1:11" s="6" customFormat="1" x14ac:dyDescent="0.2"/>
    <row r="91" spans="1:11" s="6" customFormat="1" x14ac:dyDescent="0.2"/>
    <row r="92" spans="1:11" s="6" customFormat="1" x14ac:dyDescent="0.2"/>
    <row r="93" spans="1:11" s="6" customFormat="1" x14ac:dyDescent="0.2"/>
    <row r="94" spans="1:11" s="6" customFormat="1" x14ac:dyDescent="0.2"/>
    <row r="95" spans="1:11" s="6" customFormat="1" x14ac:dyDescent="0.2"/>
    <row r="96" spans="1:11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  <row r="105" s="6" customFormat="1" x14ac:dyDescent="0.2"/>
    <row r="106" s="6" customFormat="1" x14ac:dyDescent="0.2"/>
    <row r="107" s="6" customFormat="1" x14ac:dyDescent="0.2"/>
    <row r="108" s="6" customFormat="1" x14ac:dyDescent="0.2"/>
    <row r="109" s="6" customFormat="1" x14ac:dyDescent="0.2"/>
    <row r="110" s="6" customFormat="1" x14ac:dyDescent="0.2"/>
    <row r="111" s="6" customFormat="1" x14ac:dyDescent="0.2"/>
    <row r="112" s="6" customFormat="1" x14ac:dyDescent="0.2"/>
    <row r="113" s="6" customFormat="1" x14ac:dyDescent="0.2"/>
    <row r="114" s="6" customFormat="1" x14ac:dyDescent="0.2"/>
    <row r="115" s="6" customFormat="1" x14ac:dyDescent="0.2"/>
    <row r="116" s="6" customFormat="1" x14ac:dyDescent="0.2"/>
    <row r="117" s="6" customFormat="1" x14ac:dyDescent="0.2"/>
    <row r="118" s="6" customFormat="1" x14ac:dyDescent="0.2"/>
    <row r="119" s="6" customFormat="1" x14ac:dyDescent="0.2"/>
    <row r="120" s="6" customFormat="1" x14ac:dyDescent="0.2"/>
    <row r="121" s="6" customFormat="1" x14ac:dyDescent="0.2"/>
    <row r="122" s="6" customFormat="1" x14ac:dyDescent="0.2"/>
    <row r="123" s="6" customFormat="1" x14ac:dyDescent="0.2"/>
    <row r="124" s="6" customFormat="1" x14ac:dyDescent="0.2"/>
    <row r="125" s="6" customFormat="1" x14ac:dyDescent="0.2"/>
    <row r="126" s="6" customFormat="1" x14ac:dyDescent="0.2"/>
    <row r="127" s="6" customFormat="1" x14ac:dyDescent="0.2"/>
    <row r="128" s="6" customFormat="1" x14ac:dyDescent="0.2"/>
    <row r="129" s="6" customFormat="1" x14ac:dyDescent="0.2"/>
    <row r="130" s="6" customFormat="1" x14ac:dyDescent="0.2"/>
    <row r="131" s="6" customFormat="1" x14ac:dyDescent="0.2"/>
    <row r="132" s="6" customFormat="1" x14ac:dyDescent="0.2"/>
    <row r="133" s="6" customFormat="1" x14ac:dyDescent="0.2"/>
  </sheetData>
  <mergeCells count="48">
    <mergeCell ref="A31:C31"/>
    <mergeCell ref="B32:C32"/>
    <mergeCell ref="A34:B35"/>
    <mergeCell ref="C34:J35"/>
    <mergeCell ref="A49:A63"/>
    <mergeCell ref="A65:A68"/>
    <mergeCell ref="B25:C25"/>
    <mergeCell ref="B26:C26"/>
    <mergeCell ref="B27:C27"/>
    <mergeCell ref="A28:C28"/>
    <mergeCell ref="B29:C29"/>
    <mergeCell ref="B30:C30"/>
    <mergeCell ref="B19:C19"/>
    <mergeCell ref="B20:C20"/>
    <mergeCell ref="B21:C21"/>
    <mergeCell ref="B22:C22"/>
    <mergeCell ref="A23:C23"/>
    <mergeCell ref="B24:C24"/>
    <mergeCell ref="B13:C13"/>
    <mergeCell ref="B14:C14"/>
    <mergeCell ref="B15:C15"/>
    <mergeCell ref="B16:C16"/>
    <mergeCell ref="B17:C17"/>
    <mergeCell ref="B18:C18"/>
    <mergeCell ref="A7:C7"/>
    <mergeCell ref="B8:C8"/>
    <mergeCell ref="B9:C9"/>
    <mergeCell ref="B10:C10"/>
    <mergeCell ref="B11:C11"/>
    <mergeCell ref="B12:C12"/>
    <mergeCell ref="L4:L6"/>
    <mergeCell ref="M4:M6"/>
    <mergeCell ref="N4:N6"/>
    <mergeCell ref="O4:O6"/>
    <mergeCell ref="E5:G5"/>
    <mergeCell ref="I5:I6"/>
    <mergeCell ref="A4:A6"/>
    <mergeCell ref="B4:C6"/>
    <mergeCell ref="D4:D6"/>
    <mergeCell ref="E4:I4"/>
    <mergeCell ref="J4:J6"/>
    <mergeCell ref="K4:K6"/>
    <mergeCell ref="A1:B1"/>
    <mergeCell ref="C1:K1"/>
    <mergeCell ref="L1:M1"/>
    <mergeCell ref="A2:B2"/>
    <mergeCell ref="L2:M2"/>
    <mergeCell ref="E3:M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8 เดือน.xlsx]000'!#REF!</xm:f>
          </x14:formula1>
          <xm:sqref>L2:O2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177"/>
  <sheetViews>
    <sheetView zoomScale="60" zoomScaleNormal="60" workbookViewId="0">
      <pane xSplit="3" ySplit="5" topLeftCell="I1955" activePane="bottomRight" state="frozen"/>
      <selection activeCell="O35" sqref="O35"/>
      <selection pane="topRight" activeCell="O35" sqref="O35"/>
      <selection pane="bottomLeft" activeCell="O35" sqref="O35"/>
      <selection pane="bottomRight" activeCell="O35" sqref="O35"/>
    </sheetView>
  </sheetViews>
  <sheetFormatPr defaultColWidth="9" defaultRowHeight="24" x14ac:dyDescent="0.2"/>
  <cols>
    <col min="1" max="1" width="9.625" style="199" customWidth="1"/>
    <col min="2" max="2" width="22.5" style="199" customWidth="1"/>
    <col min="3" max="3" width="26.5" style="199" customWidth="1"/>
    <col min="4" max="4" width="21.75" style="199" customWidth="1"/>
    <col min="5" max="5" width="11.625" style="199" customWidth="1"/>
    <col min="6" max="6" width="12.625" style="199" customWidth="1"/>
    <col min="7" max="7" width="21.375" style="132" customWidth="1"/>
    <col min="8" max="8" width="14" style="138" customWidth="1"/>
    <col min="9" max="9" width="45.375" style="132" customWidth="1"/>
    <col min="10" max="10" width="40" style="132" customWidth="1"/>
    <col min="11" max="11" width="14.625" style="132" customWidth="1"/>
    <col min="12" max="12" width="28.125" style="132" customWidth="1"/>
    <col min="13" max="13" width="21" style="132" customWidth="1"/>
    <col min="14" max="14" width="12" style="132" bestFit="1" customWidth="1"/>
    <col min="15" max="15" width="9.625" style="132" bestFit="1" customWidth="1"/>
    <col min="16" max="67" width="9" style="132"/>
    <col min="68" max="16384" width="9" style="199"/>
  </cols>
  <sheetData>
    <row r="1" spans="1:14" ht="30.75" x14ac:dyDescent="0.2">
      <c r="A1" s="127"/>
      <c r="B1" s="128" t="s">
        <v>91</v>
      </c>
      <c r="C1" s="129" t="s">
        <v>1</v>
      </c>
      <c r="D1" s="129"/>
      <c r="E1" s="129"/>
      <c r="F1" s="129"/>
      <c r="G1" s="130"/>
      <c r="H1" s="131"/>
      <c r="I1" s="129"/>
      <c r="J1" s="129"/>
      <c r="K1" s="129"/>
      <c r="L1" s="2" t="s">
        <v>2</v>
      </c>
      <c r="M1" s="4"/>
    </row>
    <row r="2" spans="1:14" ht="30.75" x14ac:dyDescent="0.2">
      <c r="A2" s="133"/>
      <c r="B2" s="134" t="s">
        <v>3</v>
      </c>
      <c r="C2" s="135" t="s">
        <v>4</v>
      </c>
      <c r="D2" s="135"/>
      <c r="E2" s="135"/>
      <c r="F2" s="135"/>
      <c r="G2" s="135"/>
      <c r="H2" s="136"/>
      <c r="I2" s="135"/>
      <c r="J2" s="135"/>
      <c r="K2" s="135"/>
      <c r="L2" s="8" t="s">
        <v>5</v>
      </c>
      <c r="M2" s="12"/>
    </row>
    <row r="3" spans="1:14" s="132" customFormat="1" ht="33" customHeight="1" x14ac:dyDescent="0.2">
      <c r="A3" s="133"/>
      <c r="B3" s="137"/>
      <c r="C3" s="15" t="s">
        <v>92</v>
      </c>
      <c r="D3" s="15"/>
      <c r="E3" s="15" t="s">
        <v>93</v>
      </c>
      <c r="H3" s="138"/>
    </row>
    <row r="4" spans="1:14" ht="60.75" customHeight="1" x14ac:dyDescent="0.2">
      <c r="A4" s="139" t="s">
        <v>10</v>
      </c>
      <c r="B4" s="140" t="s">
        <v>94</v>
      </c>
      <c r="C4" s="141"/>
      <c r="D4" s="142" t="s">
        <v>95</v>
      </c>
      <c r="E4" s="143" t="s">
        <v>96</v>
      </c>
      <c r="F4" s="144"/>
      <c r="G4" s="144"/>
      <c r="H4" s="145"/>
      <c r="I4" s="146" t="s">
        <v>97</v>
      </c>
      <c r="J4" s="147" t="s">
        <v>98</v>
      </c>
      <c r="K4" s="148" t="s">
        <v>99</v>
      </c>
      <c r="L4" s="149" t="s">
        <v>100</v>
      </c>
      <c r="M4" s="150" t="s">
        <v>101</v>
      </c>
    </row>
    <row r="5" spans="1:14" s="132" customFormat="1" ht="51" customHeight="1" x14ac:dyDescent="0.2">
      <c r="A5" s="151"/>
      <c r="B5" s="152"/>
      <c r="C5" s="153"/>
      <c r="D5" s="154"/>
      <c r="E5" s="155" t="s">
        <v>102</v>
      </c>
      <c r="F5" s="155" t="s">
        <v>103</v>
      </c>
      <c r="G5" s="156" t="s">
        <v>104</v>
      </c>
      <c r="H5" s="157" t="s">
        <v>105</v>
      </c>
      <c r="I5" s="158"/>
      <c r="J5" s="159"/>
      <c r="K5" s="160"/>
      <c r="L5" s="161"/>
      <c r="M5" s="162"/>
    </row>
    <row r="6" spans="1:14" ht="22.5" customHeight="1" x14ac:dyDescent="0.2">
      <c r="A6" s="163">
        <v>1</v>
      </c>
      <c r="B6" s="164" t="s">
        <v>106</v>
      </c>
      <c r="C6" s="165"/>
      <c r="D6" s="166" t="s">
        <v>107</v>
      </c>
      <c r="E6" s="166"/>
      <c r="F6" s="166"/>
      <c r="G6" s="166"/>
      <c r="H6" s="166" t="s">
        <v>108</v>
      </c>
      <c r="I6" s="167" t="s">
        <v>109</v>
      </c>
      <c r="J6" s="168" t="s">
        <v>110</v>
      </c>
      <c r="K6" s="169">
        <f>10000*96%</f>
        <v>9600</v>
      </c>
      <c r="L6" s="170" t="s">
        <v>111</v>
      </c>
      <c r="M6" s="171" t="s">
        <v>112</v>
      </c>
      <c r="N6" s="172"/>
    </row>
    <row r="7" spans="1:14" ht="22.5" customHeight="1" x14ac:dyDescent="0.2">
      <c r="A7" s="173"/>
      <c r="B7" s="174"/>
      <c r="C7" s="175"/>
      <c r="D7" s="176"/>
      <c r="E7" s="176"/>
      <c r="F7" s="176"/>
      <c r="G7" s="176"/>
      <c r="H7" s="176"/>
      <c r="I7" s="177" t="s">
        <v>113</v>
      </c>
      <c r="J7" s="178" t="s">
        <v>110</v>
      </c>
      <c r="K7" s="179">
        <f>10000*1%</f>
        <v>100</v>
      </c>
      <c r="L7" s="180"/>
      <c r="M7" s="181"/>
      <c r="N7" s="172"/>
    </row>
    <row r="8" spans="1:14" ht="22.5" customHeight="1" x14ac:dyDescent="0.2">
      <c r="A8" s="173"/>
      <c r="B8" s="174"/>
      <c r="C8" s="175"/>
      <c r="D8" s="176"/>
      <c r="E8" s="176"/>
      <c r="F8" s="176"/>
      <c r="G8" s="176"/>
      <c r="H8" s="176"/>
      <c r="I8" s="177" t="s">
        <v>114</v>
      </c>
      <c r="J8" s="168" t="s">
        <v>110</v>
      </c>
      <c r="K8" s="182">
        <f>10000*1%</f>
        <v>100</v>
      </c>
      <c r="L8" s="180"/>
      <c r="M8" s="181"/>
    </row>
    <row r="9" spans="1:14" ht="22.5" customHeight="1" x14ac:dyDescent="0.2">
      <c r="A9" s="173"/>
      <c r="B9" s="174"/>
      <c r="C9" s="175"/>
      <c r="D9" s="176"/>
      <c r="E9" s="176"/>
      <c r="F9" s="176"/>
      <c r="G9" s="176"/>
      <c r="H9" s="176"/>
      <c r="I9" s="177" t="s">
        <v>115</v>
      </c>
      <c r="J9" s="183" t="s">
        <v>110</v>
      </c>
      <c r="K9" s="179">
        <f>10000*1%</f>
        <v>100</v>
      </c>
      <c r="L9" s="180"/>
      <c r="M9" s="181"/>
      <c r="N9" s="172"/>
    </row>
    <row r="10" spans="1:14" ht="22.5" customHeight="1" x14ac:dyDescent="0.2">
      <c r="A10" s="173"/>
      <c r="B10" s="174"/>
      <c r="C10" s="175"/>
      <c r="D10" s="176"/>
      <c r="E10" s="176"/>
      <c r="F10" s="176"/>
      <c r="G10" s="176"/>
      <c r="H10" s="176"/>
      <c r="I10" s="184" t="s">
        <v>116</v>
      </c>
      <c r="J10" s="183" t="s">
        <v>117</v>
      </c>
      <c r="K10" s="179">
        <f>10000*1%</f>
        <v>100</v>
      </c>
      <c r="L10" s="180"/>
      <c r="M10" s="181"/>
    </row>
    <row r="11" spans="1:14" ht="22.5" customHeight="1" x14ac:dyDescent="0.2">
      <c r="A11" s="185"/>
      <c r="B11" s="186"/>
      <c r="C11" s="187"/>
      <c r="D11" s="188"/>
      <c r="E11" s="188"/>
      <c r="F11" s="188"/>
      <c r="G11" s="188"/>
      <c r="H11" s="188"/>
      <c r="I11" s="189"/>
      <c r="J11" s="190"/>
      <c r="K11" s="191">
        <f>SUM(K6:K10)</f>
        <v>10000</v>
      </c>
      <c r="L11" s="192"/>
      <c r="M11" s="193"/>
    </row>
    <row r="12" spans="1:14" ht="23.25" customHeight="1" x14ac:dyDescent="0.2">
      <c r="A12" s="163">
        <v>2</v>
      </c>
      <c r="B12" s="164" t="s">
        <v>118</v>
      </c>
      <c r="C12" s="165"/>
      <c r="D12" s="166" t="s">
        <v>107</v>
      </c>
      <c r="E12" s="166"/>
      <c r="F12" s="166"/>
      <c r="G12" s="166"/>
      <c r="H12" s="166"/>
      <c r="I12" s="167" t="s">
        <v>119</v>
      </c>
      <c r="J12" s="194" t="s">
        <v>110</v>
      </c>
      <c r="K12" s="169">
        <f>3000*20%</f>
        <v>600</v>
      </c>
      <c r="L12" s="195" t="s">
        <v>111</v>
      </c>
      <c r="M12" s="171" t="s">
        <v>120</v>
      </c>
    </row>
    <row r="13" spans="1:14" ht="23.25" customHeight="1" x14ac:dyDescent="0.2">
      <c r="A13" s="173"/>
      <c r="B13" s="174"/>
      <c r="C13" s="175"/>
      <c r="D13" s="176"/>
      <c r="E13" s="176"/>
      <c r="F13" s="176"/>
      <c r="G13" s="176"/>
      <c r="H13" s="176"/>
      <c r="I13" s="184" t="s">
        <v>121</v>
      </c>
      <c r="J13" s="168" t="s">
        <v>110</v>
      </c>
      <c r="K13" s="196">
        <f>3000*15%</f>
        <v>450</v>
      </c>
      <c r="L13" s="197"/>
      <c r="M13" s="181"/>
    </row>
    <row r="14" spans="1:14" ht="23.25" customHeight="1" x14ac:dyDescent="0.2">
      <c r="A14" s="173"/>
      <c r="B14" s="174"/>
      <c r="C14" s="175"/>
      <c r="D14" s="176"/>
      <c r="E14" s="176"/>
      <c r="F14" s="176"/>
      <c r="G14" s="176"/>
      <c r="H14" s="176"/>
      <c r="I14" s="184" t="s">
        <v>122</v>
      </c>
      <c r="J14" s="183" t="s">
        <v>110</v>
      </c>
      <c r="K14" s="198">
        <f>3000*10%</f>
        <v>300</v>
      </c>
      <c r="L14" s="197"/>
      <c r="M14" s="181"/>
    </row>
    <row r="15" spans="1:14" ht="23.25" customHeight="1" x14ac:dyDescent="0.2">
      <c r="A15" s="173"/>
      <c r="B15" s="174"/>
      <c r="C15" s="175"/>
      <c r="D15" s="176"/>
      <c r="E15" s="176"/>
      <c r="F15" s="176"/>
      <c r="G15" s="176"/>
      <c r="H15" s="176"/>
      <c r="I15" s="184" t="s">
        <v>123</v>
      </c>
      <c r="J15" s="183" t="s">
        <v>110</v>
      </c>
      <c r="K15" s="198">
        <f>3000*15%</f>
        <v>450</v>
      </c>
      <c r="L15" s="197"/>
      <c r="M15" s="181"/>
    </row>
    <row r="16" spans="1:14" ht="23.25" customHeight="1" x14ac:dyDescent="0.2">
      <c r="A16" s="173"/>
      <c r="B16" s="174"/>
      <c r="C16" s="175"/>
      <c r="D16" s="176"/>
      <c r="E16" s="176"/>
      <c r="F16" s="176"/>
      <c r="G16" s="176"/>
      <c r="H16" s="176"/>
      <c r="I16" s="167" t="s">
        <v>124</v>
      </c>
      <c r="J16" s="183" t="s">
        <v>110</v>
      </c>
      <c r="K16" s="198">
        <f>3000*10%</f>
        <v>300</v>
      </c>
      <c r="L16" s="197"/>
      <c r="M16" s="181"/>
    </row>
    <row r="17" spans="1:67" ht="23.25" customHeight="1" x14ac:dyDescent="0.2">
      <c r="A17" s="173"/>
      <c r="B17" s="174"/>
      <c r="C17" s="175"/>
      <c r="D17" s="176"/>
      <c r="E17" s="176"/>
      <c r="F17" s="176"/>
      <c r="G17" s="176"/>
      <c r="H17" s="176"/>
      <c r="I17" s="177" t="s">
        <v>125</v>
      </c>
      <c r="J17" s="183" t="s">
        <v>126</v>
      </c>
      <c r="K17" s="198">
        <f>3000*10%</f>
        <v>300</v>
      </c>
      <c r="L17" s="197"/>
      <c r="M17" s="181"/>
      <c r="BC17" s="199"/>
      <c r="BD17" s="199"/>
      <c r="BE17" s="199"/>
      <c r="BF17" s="199"/>
      <c r="BG17" s="199"/>
      <c r="BH17" s="199"/>
      <c r="BI17" s="199"/>
      <c r="BJ17" s="199"/>
      <c r="BK17" s="199"/>
      <c r="BL17" s="199"/>
      <c r="BM17" s="199"/>
      <c r="BN17" s="199"/>
      <c r="BO17" s="199"/>
    </row>
    <row r="18" spans="1:67" ht="23.25" customHeight="1" x14ac:dyDescent="0.2">
      <c r="A18" s="173"/>
      <c r="B18" s="174"/>
      <c r="C18" s="175"/>
      <c r="D18" s="176"/>
      <c r="E18" s="176"/>
      <c r="F18" s="176"/>
      <c r="G18" s="176"/>
      <c r="H18" s="176"/>
      <c r="I18" s="177" t="s">
        <v>127</v>
      </c>
      <c r="J18" s="183" t="s">
        <v>110</v>
      </c>
      <c r="K18" s="200">
        <f>3000*10%</f>
        <v>300</v>
      </c>
      <c r="L18" s="197"/>
      <c r="M18" s="181"/>
    </row>
    <row r="19" spans="1:67" ht="23.25" customHeight="1" x14ac:dyDescent="0.2">
      <c r="A19" s="173"/>
      <c r="B19" s="174"/>
      <c r="C19" s="175"/>
      <c r="D19" s="176"/>
      <c r="E19" s="176"/>
      <c r="F19" s="176"/>
      <c r="G19" s="176"/>
      <c r="H19" s="176"/>
      <c r="I19" s="177" t="s">
        <v>128</v>
      </c>
      <c r="J19" s="183" t="s">
        <v>117</v>
      </c>
      <c r="K19" s="201">
        <f>3000*10%</f>
        <v>300</v>
      </c>
      <c r="L19" s="197"/>
      <c r="M19" s="181"/>
    </row>
    <row r="20" spans="1:67" ht="23.25" customHeight="1" x14ac:dyDescent="0.2">
      <c r="A20" s="185"/>
      <c r="B20" s="186"/>
      <c r="C20" s="187"/>
      <c r="D20" s="188"/>
      <c r="E20" s="188"/>
      <c r="F20" s="188"/>
      <c r="G20" s="188"/>
      <c r="H20" s="188"/>
      <c r="I20" s="202"/>
      <c r="J20" s="203"/>
      <c r="K20" s="204">
        <f>SUM(K12:K19)</f>
        <v>3000</v>
      </c>
      <c r="L20" s="205"/>
      <c r="M20" s="193"/>
    </row>
    <row r="21" spans="1:67" ht="23.25" customHeight="1" x14ac:dyDescent="0.2">
      <c r="A21" s="163">
        <v>3</v>
      </c>
      <c r="B21" s="164" t="s">
        <v>129</v>
      </c>
      <c r="C21" s="165"/>
      <c r="D21" s="166" t="s">
        <v>107</v>
      </c>
      <c r="E21" s="166"/>
      <c r="F21" s="166"/>
      <c r="G21" s="166"/>
      <c r="H21" s="166" t="s">
        <v>108</v>
      </c>
      <c r="I21" s="167" t="s">
        <v>130</v>
      </c>
      <c r="J21" s="194" t="s">
        <v>110</v>
      </c>
      <c r="K21" s="206">
        <f>11000*40%</f>
        <v>4400</v>
      </c>
      <c r="L21" s="170" t="s">
        <v>111</v>
      </c>
      <c r="M21" s="171" t="s">
        <v>131</v>
      </c>
    </row>
    <row r="22" spans="1:67" ht="23.25" customHeight="1" x14ac:dyDescent="0.2">
      <c r="A22" s="173"/>
      <c r="B22" s="174"/>
      <c r="C22" s="175"/>
      <c r="D22" s="176"/>
      <c r="E22" s="176"/>
      <c r="F22" s="176"/>
      <c r="G22" s="176"/>
      <c r="H22" s="176"/>
      <c r="I22" s="177" t="s">
        <v>132</v>
      </c>
      <c r="J22" s="168" t="s">
        <v>110</v>
      </c>
      <c r="K22" s="201">
        <f>11000*30%</f>
        <v>3300</v>
      </c>
      <c r="L22" s="180"/>
      <c r="M22" s="181"/>
    </row>
    <row r="23" spans="1:67" ht="23.25" customHeight="1" x14ac:dyDescent="0.2">
      <c r="A23" s="173"/>
      <c r="B23" s="174"/>
      <c r="C23" s="175"/>
      <c r="D23" s="176"/>
      <c r="E23" s="176"/>
      <c r="F23" s="176"/>
      <c r="G23" s="176"/>
      <c r="H23" s="176"/>
      <c r="I23" s="177" t="s">
        <v>133</v>
      </c>
      <c r="J23" s="207" t="s">
        <v>110</v>
      </c>
      <c r="K23" s="182">
        <f>11000*20%</f>
        <v>2200</v>
      </c>
      <c r="L23" s="180"/>
      <c r="M23" s="181"/>
    </row>
    <row r="24" spans="1:67" ht="23.25" customHeight="1" x14ac:dyDescent="0.2">
      <c r="A24" s="173"/>
      <c r="B24" s="174"/>
      <c r="C24" s="175"/>
      <c r="D24" s="176"/>
      <c r="E24" s="176"/>
      <c r="F24" s="176"/>
      <c r="G24" s="176"/>
      <c r="H24" s="176"/>
      <c r="I24" s="177" t="s">
        <v>134</v>
      </c>
      <c r="J24" s="183" t="s">
        <v>135</v>
      </c>
      <c r="K24" s="208">
        <f>11000*10%</f>
        <v>1100</v>
      </c>
      <c r="L24" s="180"/>
      <c r="M24" s="181"/>
      <c r="BC24" s="199"/>
      <c r="BD24" s="199"/>
      <c r="BE24" s="199"/>
      <c r="BF24" s="199"/>
      <c r="BG24" s="199"/>
      <c r="BH24" s="199"/>
      <c r="BI24" s="199"/>
      <c r="BJ24" s="199"/>
      <c r="BK24" s="199"/>
      <c r="BL24" s="199"/>
      <c r="BM24" s="199"/>
      <c r="BN24" s="199"/>
      <c r="BO24" s="199"/>
    </row>
    <row r="25" spans="1:67" ht="23.25" customHeight="1" x14ac:dyDescent="0.2">
      <c r="A25" s="185"/>
      <c r="B25" s="186"/>
      <c r="C25" s="187"/>
      <c r="D25" s="188"/>
      <c r="E25" s="188"/>
      <c r="F25" s="188"/>
      <c r="G25" s="188"/>
      <c r="H25" s="188"/>
      <c r="I25" s="202"/>
      <c r="J25" s="190"/>
      <c r="K25" s="209">
        <f>SUM(K21:K24)</f>
        <v>11000</v>
      </c>
      <c r="L25" s="192"/>
      <c r="M25" s="193"/>
    </row>
    <row r="26" spans="1:67" ht="23.25" customHeight="1" x14ac:dyDescent="0.2">
      <c r="A26" s="163">
        <v>4</v>
      </c>
      <c r="B26" s="164" t="s">
        <v>136</v>
      </c>
      <c r="C26" s="165"/>
      <c r="D26" s="166" t="s">
        <v>107</v>
      </c>
      <c r="E26" s="166"/>
      <c r="F26" s="166"/>
      <c r="G26" s="166"/>
      <c r="H26" s="166" t="s">
        <v>137</v>
      </c>
      <c r="I26" s="167" t="s">
        <v>138</v>
      </c>
      <c r="J26" s="168" t="s">
        <v>110</v>
      </c>
      <c r="K26" s="169">
        <f>5000*50%</f>
        <v>2500</v>
      </c>
      <c r="L26" s="170" t="s">
        <v>111</v>
      </c>
      <c r="M26" s="171" t="s">
        <v>139</v>
      </c>
    </row>
    <row r="27" spans="1:67" ht="23.25" customHeight="1" x14ac:dyDescent="0.2">
      <c r="A27" s="173"/>
      <c r="B27" s="174"/>
      <c r="C27" s="175"/>
      <c r="D27" s="176"/>
      <c r="E27" s="176"/>
      <c r="F27" s="176"/>
      <c r="G27" s="176"/>
      <c r="H27" s="176"/>
      <c r="I27" s="184" t="s">
        <v>140</v>
      </c>
      <c r="J27" s="183" t="s">
        <v>110</v>
      </c>
      <c r="K27" s="179">
        <f>5000*40%</f>
        <v>2000</v>
      </c>
      <c r="L27" s="180"/>
      <c r="M27" s="181"/>
    </row>
    <row r="28" spans="1:67" ht="23.25" customHeight="1" x14ac:dyDescent="0.2">
      <c r="A28" s="173"/>
      <c r="B28" s="174"/>
      <c r="C28" s="175"/>
      <c r="D28" s="176"/>
      <c r="E28" s="176"/>
      <c r="F28" s="176"/>
      <c r="G28" s="176"/>
      <c r="H28" s="176"/>
      <c r="I28" s="167" t="s">
        <v>141</v>
      </c>
      <c r="J28" s="183" t="s">
        <v>117</v>
      </c>
      <c r="K28" s="179">
        <f>5000*5%</f>
        <v>250</v>
      </c>
      <c r="L28" s="180"/>
      <c r="M28" s="181"/>
    </row>
    <row r="29" spans="1:67" ht="23.25" customHeight="1" x14ac:dyDescent="0.2">
      <c r="A29" s="173"/>
      <c r="B29" s="174"/>
      <c r="C29" s="175"/>
      <c r="D29" s="176"/>
      <c r="E29" s="176"/>
      <c r="F29" s="176"/>
      <c r="G29" s="176"/>
      <c r="H29" s="176"/>
      <c r="I29" s="167" t="s">
        <v>142</v>
      </c>
      <c r="J29" s="183" t="s">
        <v>117</v>
      </c>
      <c r="K29" s="179">
        <f>5000*5%</f>
        <v>250</v>
      </c>
      <c r="L29" s="180"/>
      <c r="M29" s="181"/>
    </row>
    <row r="30" spans="1:67" ht="23.25" customHeight="1" x14ac:dyDescent="0.2">
      <c r="A30" s="185"/>
      <c r="B30" s="186"/>
      <c r="C30" s="187"/>
      <c r="D30" s="188"/>
      <c r="E30" s="188"/>
      <c r="F30" s="188"/>
      <c r="G30" s="188"/>
      <c r="H30" s="188"/>
      <c r="I30" s="202"/>
      <c r="J30" s="190"/>
      <c r="K30" s="191">
        <f>SUM(K26:K29)</f>
        <v>5000</v>
      </c>
      <c r="L30" s="192"/>
      <c r="M30" s="193"/>
    </row>
    <row r="31" spans="1:67" ht="23.25" customHeight="1" x14ac:dyDescent="0.2">
      <c r="A31" s="163">
        <v>5</v>
      </c>
      <c r="B31" s="164" t="s">
        <v>143</v>
      </c>
      <c r="C31" s="165"/>
      <c r="D31" s="166" t="s">
        <v>107</v>
      </c>
      <c r="E31" s="166"/>
      <c r="F31" s="166"/>
      <c r="G31" s="166"/>
      <c r="H31" s="166"/>
      <c r="I31" s="167" t="s">
        <v>144</v>
      </c>
      <c r="J31" s="168" t="s">
        <v>145</v>
      </c>
      <c r="K31" s="210">
        <f>10000*50%</f>
        <v>5000</v>
      </c>
      <c r="L31" s="195" t="s">
        <v>111</v>
      </c>
      <c r="M31" s="171" t="s">
        <v>146</v>
      </c>
    </row>
    <row r="32" spans="1:67" ht="23.25" customHeight="1" x14ac:dyDescent="0.2">
      <c r="A32" s="173"/>
      <c r="B32" s="174"/>
      <c r="C32" s="175"/>
      <c r="D32" s="176"/>
      <c r="E32" s="176"/>
      <c r="F32" s="176"/>
      <c r="G32" s="176"/>
      <c r="H32" s="176"/>
      <c r="I32" s="184" t="s">
        <v>140</v>
      </c>
      <c r="J32" s="183" t="s">
        <v>147</v>
      </c>
      <c r="K32" s="200">
        <f>10000*40%</f>
        <v>4000</v>
      </c>
      <c r="L32" s="197"/>
      <c r="M32" s="181"/>
    </row>
    <row r="33" spans="1:14" ht="23.25" customHeight="1" x14ac:dyDescent="0.2">
      <c r="A33" s="173"/>
      <c r="B33" s="174"/>
      <c r="C33" s="175"/>
      <c r="D33" s="176"/>
      <c r="E33" s="176"/>
      <c r="F33" s="176"/>
      <c r="G33" s="176"/>
      <c r="H33" s="176"/>
      <c r="I33" s="167" t="s">
        <v>148</v>
      </c>
      <c r="J33" s="183" t="s">
        <v>117</v>
      </c>
      <c r="K33" s="201">
        <f>10000*10%</f>
        <v>1000</v>
      </c>
      <c r="L33" s="197"/>
      <c r="M33" s="181"/>
    </row>
    <row r="34" spans="1:14" ht="23.25" customHeight="1" x14ac:dyDescent="0.2">
      <c r="A34" s="185"/>
      <c r="B34" s="186"/>
      <c r="C34" s="187"/>
      <c r="D34" s="188"/>
      <c r="E34" s="188"/>
      <c r="F34" s="188"/>
      <c r="G34" s="188"/>
      <c r="H34" s="188"/>
      <c r="I34" s="202"/>
      <c r="J34" s="190"/>
      <c r="K34" s="211">
        <f>SUM(K31:K33)</f>
        <v>10000</v>
      </c>
      <c r="L34" s="205"/>
      <c r="M34" s="193"/>
    </row>
    <row r="35" spans="1:14" ht="23.25" customHeight="1" x14ac:dyDescent="0.2">
      <c r="A35" s="163">
        <v>6</v>
      </c>
      <c r="B35" s="164" t="s">
        <v>149</v>
      </c>
      <c r="C35" s="165"/>
      <c r="D35" s="166" t="s">
        <v>107</v>
      </c>
      <c r="E35" s="166"/>
      <c r="F35" s="166"/>
      <c r="G35" s="166"/>
      <c r="H35" s="166"/>
      <c r="I35" s="167" t="s">
        <v>150</v>
      </c>
      <c r="J35" s="168" t="s">
        <v>110</v>
      </c>
      <c r="K35" s="212">
        <f>8000*85%</f>
        <v>6800</v>
      </c>
      <c r="L35" s="170" t="s">
        <v>111</v>
      </c>
      <c r="M35" s="171" t="s">
        <v>151</v>
      </c>
    </row>
    <row r="36" spans="1:14" ht="23.25" customHeight="1" x14ac:dyDescent="0.2">
      <c r="A36" s="173"/>
      <c r="B36" s="174"/>
      <c r="C36" s="175"/>
      <c r="D36" s="176"/>
      <c r="E36" s="176"/>
      <c r="F36" s="176"/>
      <c r="G36" s="176"/>
      <c r="H36" s="176"/>
      <c r="I36" s="177" t="s">
        <v>152</v>
      </c>
      <c r="J36" s="178" t="s">
        <v>110</v>
      </c>
      <c r="K36" s="208">
        <f>8000*5%</f>
        <v>400</v>
      </c>
      <c r="L36" s="180"/>
      <c r="M36" s="181"/>
    </row>
    <row r="37" spans="1:14" ht="23.25" customHeight="1" x14ac:dyDescent="0.2">
      <c r="A37" s="173"/>
      <c r="B37" s="174"/>
      <c r="C37" s="175"/>
      <c r="D37" s="176"/>
      <c r="E37" s="176"/>
      <c r="F37" s="176"/>
      <c r="G37" s="176"/>
      <c r="H37" s="176"/>
      <c r="I37" s="177" t="s">
        <v>153</v>
      </c>
      <c r="J37" s="178" t="s">
        <v>110</v>
      </c>
      <c r="K37" s="208">
        <f>8000*5%</f>
        <v>400</v>
      </c>
      <c r="L37" s="180"/>
      <c r="M37" s="181"/>
    </row>
    <row r="38" spans="1:14" ht="23.25" customHeight="1" x14ac:dyDescent="0.2">
      <c r="A38" s="173"/>
      <c r="B38" s="174"/>
      <c r="C38" s="175"/>
      <c r="D38" s="176"/>
      <c r="E38" s="176"/>
      <c r="F38" s="176"/>
      <c r="G38" s="176"/>
      <c r="H38" s="176"/>
      <c r="I38" s="184" t="s">
        <v>154</v>
      </c>
      <c r="J38" s="168" t="s">
        <v>117</v>
      </c>
      <c r="K38" s="201">
        <f>8000*5%</f>
        <v>400</v>
      </c>
      <c r="L38" s="180"/>
      <c r="M38" s="181"/>
    </row>
    <row r="39" spans="1:14" ht="23.25" customHeight="1" x14ac:dyDescent="0.2">
      <c r="A39" s="185"/>
      <c r="B39" s="186"/>
      <c r="C39" s="187"/>
      <c r="D39" s="188"/>
      <c r="E39" s="188"/>
      <c r="F39" s="188"/>
      <c r="G39" s="188"/>
      <c r="H39" s="188"/>
      <c r="I39" s="202"/>
      <c r="J39" s="190"/>
      <c r="K39" s="191">
        <f>SUM(K35:K38)</f>
        <v>8000</v>
      </c>
      <c r="L39" s="192"/>
      <c r="M39" s="193"/>
    </row>
    <row r="40" spans="1:14" ht="23.25" customHeight="1" x14ac:dyDescent="0.2">
      <c r="A40" s="163">
        <v>7</v>
      </c>
      <c r="B40" s="164" t="s">
        <v>155</v>
      </c>
      <c r="C40" s="165"/>
      <c r="D40" s="166" t="s">
        <v>107</v>
      </c>
      <c r="E40" s="166"/>
      <c r="F40" s="166"/>
      <c r="G40" s="166"/>
      <c r="H40" s="166" t="s">
        <v>108</v>
      </c>
      <c r="I40" s="167" t="s">
        <v>156</v>
      </c>
      <c r="J40" s="194" t="s">
        <v>110</v>
      </c>
      <c r="K40" s="213">
        <f>8000*35%</f>
        <v>2800</v>
      </c>
      <c r="L40" s="195" t="s">
        <v>111</v>
      </c>
      <c r="M40" s="171" t="s">
        <v>157</v>
      </c>
    </row>
    <row r="41" spans="1:14" ht="23.25" customHeight="1" x14ac:dyDescent="0.2">
      <c r="A41" s="173"/>
      <c r="B41" s="174"/>
      <c r="C41" s="175"/>
      <c r="D41" s="176"/>
      <c r="E41" s="176"/>
      <c r="F41" s="176"/>
      <c r="G41" s="176"/>
      <c r="H41" s="176"/>
      <c r="I41" s="177" t="s">
        <v>158</v>
      </c>
      <c r="J41" s="168" t="s">
        <v>110</v>
      </c>
      <c r="K41" s="214">
        <f>8000*10%</f>
        <v>800</v>
      </c>
      <c r="L41" s="197"/>
      <c r="M41" s="181"/>
    </row>
    <row r="42" spans="1:14" ht="23.25" customHeight="1" x14ac:dyDescent="0.2">
      <c r="A42" s="173"/>
      <c r="B42" s="174"/>
      <c r="C42" s="175"/>
      <c r="D42" s="176"/>
      <c r="E42" s="176"/>
      <c r="F42" s="176"/>
      <c r="G42" s="176"/>
      <c r="H42" s="176"/>
      <c r="I42" s="184" t="s">
        <v>159</v>
      </c>
      <c r="J42" s="183" t="s">
        <v>110</v>
      </c>
      <c r="K42" s="201">
        <f>8000*5%</f>
        <v>400</v>
      </c>
      <c r="L42" s="197"/>
      <c r="M42" s="181"/>
    </row>
    <row r="43" spans="1:14" ht="23.25" customHeight="1" x14ac:dyDescent="0.2">
      <c r="A43" s="173"/>
      <c r="B43" s="174"/>
      <c r="C43" s="175"/>
      <c r="D43" s="176"/>
      <c r="E43" s="176"/>
      <c r="F43" s="176"/>
      <c r="G43" s="176"/>
      <c r="H43" s="176"/>
      <c r="I43" s="184" t="s">
        <v>160</v>
      </c>
      <c r="J43" s="183" t="s">
        <v>110</v>
      </c>
      <c r="K43" s="200">
        <f>8000*45%</f>
        <v>3600</v>
      </c>
      <c r="L43" s="197"/>
      <c r="M43" s="181"/>
    </row>
    <row r="44" spans="1:14" ht="23.25" customHeight="1" x14ac:dyDescent="0.2">
      <c r="A44" s="173"/>
      <c r="B44" s="174"/>
      <c r="C44" s="175"/>
      <c r="D44" s="176"/>
      <c r="E44" s="176"/>
      <c r="F44" s="176"/>
      <c r="G44" s="176"/>
      <c r="H44" s="176"/>
      <c r="I44" s="167" t="s">
        <v>161</v>
      </c>
      <c r="J44" s="183" t="s">
        <v>117</v>
      </c>
      <c r="K44" s="200">
        <f>8000*5%</f>
        <v>400</v>
      </c>
      <c r="L44" s="197"/>
      <c r="M44" s="181"/>
    </row>
    <row r="45" spans="1:14" ht="23.25" customHeight="1" x14ac:dyDescent="0.2">
      <c r="A45" s="185"/>
      <c r="B45" s="186"/>
      <c r="C45" s="187"/>
      <c r="D45" s="188"/>
      <c r="E45" s="188"/>
      <c r="F45" s="188"/>
      <c r="G45" s="188"/>
      <c r="H45" s="188"/>
      <c r="I45" s="202"/>
      <c r="J45" s="190"/>
      <c r="K45" s="209">
        <f>SUM(K40:K44)</f>
        <v>8000</v>
      </c>
      <c r="L45" s="205"/>
      <c r="M45" s="193"/>
    </row>
    <row r="46" spans="1:14" ht="23.25" customHeight="1" x14ac:dyDescent="0.2">
      <c r="A46" s="163">
        <v>8</v>
      </c>
      <c r="B46" s="164" t="s">
        <v>162</v>
      </c>
      <c r="C46" s="165"/>
      <c r="D46" s="166" t="s">
        <v>163</v>
      </c>
      <c r="E46" s="166"/>
      <c r="F46" s="166"/>
      <c r="G46" s="166"/>
      <c r="H46" s="166" t="s">
        <v>164</v>
      </c>
      <c r="I46" s="167" t="s">
        <v>165</v>
      </c>
      <c r="J46" s="168" t="s">
        <v>110</v>
      </c>
      <c r="K46" s="169">
        <f>630000*60%</f>
        <v>378000</v>
      </c>
      <c r="L46" s="170" t="s">
        <v>166</v>
      </c>
      <c r="M46" s="171" t="s">
        <v>167</v>
      </c>
      <c r="N46" s="172"/>
    </row>
    <row r="47" spans="1:14" ht="23.25" customHeight="1" x14ac:dyDescent="0.2">
      <c r="A47" s="173"/>
      <c r="B47" s="174"/>
      <c r="C47" s="175"/>
      <c r="D47" s="176"/>
      <c r="E47" s="176"/>
      <c r="F47" s="176"/>
      <c r="G47" s="176"/>
      <c r="H47" s="176"/>
      <c r="I47" s="177" t="s">
        <v>168</v>
      </c>
      <c r="J47" s="178" t="s">
        <v>117</v>
      </c>
      <c r="K47" s="179">
        <f>630000*40%</f>
        <v>252000</v>
      </c>
      <c r="L47" s="180"/>
      <c r="M47" s="181"/>
      <c r="N47" s="172"/>
    </row>
    <row r="48" spans="1:14" ht="23.25" customHeight="1" x14ac:dyDescent="0.2">
      <c r="A48" s="185"/>
      <c r="B48" s="186"/>
      <c r="C48" s="187"/>
      <c r="D48" s="188"/>
      <c r="E48" s="188"/>
      <c r="F48" s="188"/>
      <c r="G48" s="188"/>
      <c r="H48" s="188"/>
      <c r="I48" s="202"/>
      <c r="J48" s="215"/>
      <c r="K48" s="216">
        <f>SUM(K46:K47)</f>
        <v>630000</v>
      </c>
      <c r="L48" s="192"/>
      <c r="M48" s="193"/>
    </row>
    <row r="49" spans="1:14" ht="23.25" customHeight="1" x14ac:dyDescent="0.2">
      <c r="A49" s="163">
        <v>9</v>
      </c>
      <c r="B49" s="164" t="s">
        <v>169</v>
      </c>
      <c r="C49" s="165"/>
      <c r="D49" s="166" t="s">
        <v>163</v>
      </c>
      <c r="E49" s="166"/>
      <c r="F49" s="166"/>
      <c r="G49" s="166"/>
      <c r="H49" s="166"/>
      <c r="I49" s="217" t="s">
        <v>170</v>
      </c>
      <c r="J49" s="168" t="s">
        <v>110</v>
      </c>
      <c r="K49" s="169">
        <f>630000*60%</f>
        <v>378000</v>
      </c>
      <c r="L49" s="195" t="s">
        <v>166</v>
      </c>
      <c r="M49" s="171" t="s">
        <v>171</v>
      </c>
    </row>
    <row r="50" spans="1:14" ht="23.25" customHeight="1" x14ac:dyDescent="0.2">
      <c r="A50" s="173"/>
      <c r="B50" s="174"/>
      <c r="C50" s="175"/>
      <c r="D50" s="176"/>
      <c r="E50" s="176"/>
      <c r="F50" s="176"/>
      <c r="G50" s="176"/>
      <c r="H50" s="176"/>
      <c r="I50" s="167" t="s">
        <v>168</v>
      </c>
      <c r="J50" s="183" t="s">
        <v>117</v>
      </c>
      <c r="K50" s="200">
        <f>630000*40%</f>
        <v>252000</v>
      </c>
      <c r="L50" s="197"/>
      <c r="M50" s="181"/>
    </row>
    <row r="51" spans="1:14" ht="23.25" customHeight="1" x14ac:dyDescent="0.2">
      <c r="A51" s="185"/>
      <c r="B51" s="186"/>
      <c r="C51" s="187"/>
      <c r="D51" s="188"/>
      <c r="E51" s="188"/>
      <c r="F51" s="188"/>
      <c r="G51" s="188"/>
      <c r="H51" s="188"/>
      <c r="I51" s="202"/>
      <c r="J51" s="190"/>
      <c r="K51" s="209">
        <f>SUM(K49:K50)</f>
        <v>630000</v>
      </c>
      <c r="L51" s="205"/>
      <c r="M51" s="193"/>
    </row>
    <row r="52" spans="1:14" ht="23.25" customHeight="1" x14ac:dyDescent="0.2">
      <c r="A52" s="163">
        <v>10</v>
      </c>
      <c r="B52" s="164" t="s">
        <v>172</v>
      </c>
      <c r="C52" s="165"/>
      <c r="D52" s="166" t="s">
        <v>163</v>
      </c>
      <c r="E52" s="166"/>
      <c r="F52" s="166"/>
      <c r="G52" s="166"/>
      <c r="H52" s="166"/>
      <c r="I52" s="167" t="s">
        <v>173</v>
      </c>
      <c r="J52" s="168" t="s">
        <v>147</v>
      </c>
      <c r="K52" s="218">
        <f>539800*50%</f>
        <v>269900</v>
      </c>
      <c r="L52" s="171" t="s">
        <v>166</v>
      </c>
      <c r="M52" s="171" t="s">
        <v>174</v>
      </c>
    </row>
    <row r="53" spans="1:14" ht="23.25" customHeight="1" x14ac:dyDescent="0.2">
      <c r="A53" s="173"/>
      <c r="B53" s="174"/>
      <c r="C53" s="175"/>
      <c r="D53" s="176"/>
      <c r="E53" s="176"/>
      <c r="F53" s="176"/>
      <c r="G53" s="176"/>
      <c r="H53" s="176"/>
      <c r="I53" s="177" t="s">
        <v>175</v>
      </c>
      <c r="J53" s="178" t="s">
        <v>176</v>
      </c>
      <c r="K53" s="200">
        <f t="shared" ref="K53:K62" si="0">539800*5%</f>
        <v>26990</v>
      </c>
      <c r="L53" s="197"/>
      <c r="M53" s="181"/>
      <c r="N53" s="172"/>
    </row>
    <row r="54" spans="1:14" ht="23.25" customHeight="1" x14ac:dyDescent="0.2">
      <c r="A54" s="173"/>
      <c r="B54" s="174"/>
      <c r="C54" s="175"/>
      <c r="D54" s="176"/>
      <c r="E54" s="176"/>
      <c r="F54" s="176"/>
      <c r="G54" s="176"/>
      <c r="H54" s="176"/>
      <c r="I54" s="177" t="s">
        <v>177</v>
      </c>
      <c r="J54" s="168" t="s">
        <v>147</v>
      </c>
      <c r="K54" s="219">
        <f t="shared" si="0"/>
        <v>26990</v>
      </c>
      <c r="L54" s="181"/>
      <c r="M54" s="181"/>
    </row>
    <row r="55" spans="1:14" ht="23.25" customHeight="1" x14ac:dyDescent="0.2">
      <c r="A55" s="173"/>
      <c r="B55" s="174"/>
      <c r="C55" s="175"/>
      <c r="D55" s="176"/>
      <c r="E55" s="176"/>
      <c r="F55" s="176"/>
      <c r="G55" s="176"/>
      <c r="H55" s="176"/>
      <c r="I55" s="177" t="s">
        <v>178</v>
      </c>
      <c r="J55" s="183" t="s">
        <v>179</v>
      </c>
      <c r="K55" s="200">
        <f t="shared" si="0"/>
        <v>26990</v>
      </c>
      <c r="L55" s="197"/>
      <c r="M55" s="181"/>
      <c r="N55" s="172"/>
    </row>
    <row r="56" spans="1:14" ht="23.25" customHeight="1" x14ac:dyDescent="0.2">
      <c r="A56" s="173"/>
      <c r="B56" s="174"/>
      <c r="C56" s="175"/>
      <c r="D56" s="176"/>
      <c r="E56" s="176"/>
      <c r="F56" s="176"/>
      <c r="G56" s="176"/>
      <c r="H56" s="176"/>
      <c r="I56" s="177" t="s">
        <v>180</v>
      </c>
      <c r="J56" s="183" t="s">
        <v>181</v>
      </c>
      <c r="K56" s="200">
        <f t="shared" si="0"/>
        <v>26990</v>
      </c>
      <c r="L56" s="197"/>
      <c r="M56" s="181"/>
      <c r="N56" s="172"/>
    </row>
    <row r="57" spans="1:14" ht="23.25" customHeight="1" x14ac:dyDescent="0.2">
      <c r="A57" s="173"/>
      <c r="B57" s="174"/>
      <c r="C57" s="175"/>
      <c r="D57" s="176"/>
      <c r="E57" s="176"/>
      <c r="F57" s="176"/>
      <c r="G57" s="176"/>
      <c r="H57" s="176"/>
      <c r="I57" s="177" t="s">
        <v>182</v>
      </c>
      <c r="J57" s="183" t="s">
        <v>183</v>
      </c>
      <c r="K57" s="200">
        <f t="shared" si="0"/>
        <v>26990</v>
      </c>
      <c r="L57" s="197"/>
      <c r="M57" s="181"/>
    </row>
    <row r="58" spans="1:14" ht="23.25" customHeight="1" x14ac:dyDescent="0.2">
      <c r="A58" s="173"/>
      <c r="B58" s="174"/>
      <c r="C58" s="175"/>
      <c r="D58" s="176"/>
      <c r="E58" s="176"/>
      <c r="F58" s="176"/>
      <c r="G58" s="176"/>
      <c r="H58" s="176"/>
      <c r="I58" s="184" t="s">
        <v>184</v>
      </c>
      <c r="J58" s="178" t="s">
        <v>179</v>
      </c>
      <c r="K58" s="200">
        <f t="shared" si="0"/>
        <v>26990</v>
      </c>
      <c r="L58" s="197"/>
      <c r="M58" s="181"/>
      <c r="N58" s="172"/>
    </row>
    <row r="59" spans="1:14" ht="23.25" customHeight="1" x14ac:dyDescent="0.2">
      <c r="A59" s="173"/>
      <c r="B59" s="174"/>
      <c r="C59" s="175"/>
      <c r="D59" s="176"/>
      <c r="E59" s="176"/>
      <c r="F59" s="176"/>
      <c r="G59" s="176"/>
      <c r="H59" s="176"/>
      <c r="I59" s="167" t="s">
        <v>185</v>
      </c>
      <c r="J59" s="178" t="s">
        <v>186</v>
      </c>
      <c r="K59" s="200">
        <f t="shared" si="0"/>
        <v>26990</v>
      </c>
      <c r="L59" s="197"/>
      <c r="M59" s="181"/>
      <c r="N59" s="172"/>
    </row>
    <row r="60" spans="1:14" ht="23.25" customHeight="1" x14ac:dyDescent="0.2">
      <c r="A60" s="173"/>
      <c r="B60" s="174"/>
      <c r="C60" s="175"/>
      <c r="D60" s="176"/>
      <c r="E60" s="176"/>
      <c r="F60" s="176"/>
      <c r="G60" s="176"/>
      <c r="H60" s="176"/>
      <c r="I60" s="177" t="s">
        <v>187</v>
      </c>
      <c r="J60" s="168" t="s">
        <v>147</v>
      </c>
      <c r="K60" s="219">
        <f t="shared" si="0"/>
        <v>26990</v>
      </c>
      <c r="L60" s="181"/>
      <c r="M60" s="181"/>
    </row>
    <row r="61" spans="1:14" ht="23.25" customHeight="1" x14ac:dyDescent="0.2">
      <c r="A61" s="173"/>
      <c r="B61" s="174"/>
      <c r="C61" s="175"/>
      <c r="D61" s="176"/>
      <c r="E61" s="176"/>
      <c r="F61" s="176"/>
      <c r="G61" s="176"/>
      <c r="H61" s="176"/>
      <c r="I61" s="177" t="s">
        <v>188</v>
      </c>
      <c r="J61" s="178" t="s">
        <v>179</v>
      </c>
      <c r="K61" s="200">
        <f t="shared" si="0"/>
        <v>26990</v>
      </c>
      <c r="L61" s="197"/>
      <c r="M61" s="181"/>
      <c r="N61" s="172"/>
    </row>
    <row r="62" spans="1:14" ht="23.25" customHeight="1" x14ac:dyDescent="0.2">
      <c r="A62" s="173"/>
      <c r="B62" s="174"/>
      <c r="C62" s="175"/>
      <c r="D62" s="176"/>
      <c r="E62" s="176"/>
      <c r="F62" s="176"/>
      <c r="G62" s="176"/>
      <c r="H62" s="176"/>
      <c r="I62" s="184" t="s">
        <v>189</v>
      </c>
      <c r="J62" s="178" t="s">
        <v>190</v>
      </c>
      <c r="K62" s="200">
        <f t="shared" si="0"/>
        <v>26990</v>
      </c>
      <c r="L62" s="197"/>
      <c r="M62" s="181"/>
      <c r="N62" s="172"/>
    </row>
    <row r="63" spans="1:14" ht="23.25" customHeight="1" x14ac:dyDescent="0.2">
      <c r="A63" s="173"/>
      <c r="B63" s="174"/>
      <c r="C63" s="175"/>
      <c r="D63" s="176"/>
      <c r="E63" s="176"/>
      <c r="F63" s="176"/>
      <c r="G63" s="176"/>
      <c r="H63" s="176"/>
      <c r="I63" s="167" t="s">
        <v>191</v>
      </c>
      <c r="J63" s="168" t="s">
        <v>147</v>
      </c>
      <c r="K63" s="220">
        <f>539800*5%</f>
        <v>26990</v>
      </c>
      <c r="L63" s="181"/>
      <c r="M63" s="181"/>
      <c r="N63" s="172"/>
    </row>
    <row r="64" spans="1:14" ht="23.25" customHeight="1" x14ac:dyDescent="0.2">
      <c r="A64" s="185"/>
      <c r="B64" s="186"/>
      <c r="C64" s="187"/>
      <c r="D64" s="188"/>
      <c r="E64" s="188"/>
      <c r="F64" s="188"/>
      <c r="G64" s="188"/>
      <c r="H64" s="188"/>
      <c r="I64" s="202"/>
      <c r="J64" s="190"/>
      <c r="K64" s="191">
        <f>SUM(K52:K62)</f>
        <v>539800</v>
      </c>
      <c r="L64" s="205"/>
      <c r="M64" s="193"/>
    </row>
    <row r="65" spans="1:54" ht="23.25" customHeight="1" x14ac:dyDescent="0.2">
      <c r="A65" s="163">
        <v>11</v>
      </c>
      <c r="B65" s="164" t="s">
        <v>192</v>
      </c>
      <c r="C65" s="165"/>
      <c r="D65" s="166" t="s">
        <v>163</v>
      </c>
      <c r="E65" s="166"/>
      <c r="F65" s="166"/>
      <c r="G65" s="166"/>
      <c r="H65" s="166"/>
      <c r="I65" s="167" t="s">
        <v>193</v>
      </c>
      <c r="J65" s="168" t="s">
        <v>147</v>
      </c>
      <c r="K65" s="169">
        <f>23965*50%</f>
        <v>11982.5</v>
      </c>
      <c r="L65" s="170" t="s">
        <v>166</v>
      </c>
      <c r="M65" s="171" t="s">
        <v>194</v>
      </c>
    </row>
    <row r="66" spans="1:54" ht="23.25" customHeight="1" x14ac:dyDescent="0.2">
      <c r="A66" s="173"/>
      <c r="B66" s="174"/>
      <c r="C66" s="175"/>
      <c r="D66" s="176"/>
      <c r="E66" s="176"/>
      <c r="F66" s="176"/>
      <c r="G66" s="176"/>
      <c r="H66" s="176"/>
      <c r="I66" s="184" t="s">
        <v>195</v>
      </c>
      <c r="J66" s="183" t="s">
        <v>196</v>
      </c>
      <c r="K66" s="179">
        <f>23965*50%</f>
        <v>11982.5</v>
      </c>
      <c r="L66" s="180"/>
      <c r="M66" s="181"/>
    </row>
    <row r="67" spans="1:54" ht="23.25" customHeight="1" x14ac:dyDescent="0.2">
      <c r="A67" s="185"/>
      <c r="B67" s="186"/>
      <c r="C67" s="187"/>
      <c r="D67" s="188"/>
      <c r="E67" s="188"/>
      <c r="F67" s="188"/>
      <c r="G67" s="188"/>
      <c r="H67" s="188"/>
      <c r="I67" s="189"/>
      <c r="J67" s="190"/>
      <c r="K67" s="191">
        <f>SUM(K65:K66)</f>
        <v>23965</v>
      </c>
      <c r="L67" s="192"/>
      <c r="M67" s="193"/>
    </row>
    <row r="68" spans="1:54" ht="23.25" customHeight="1" x14ac:dyDescent="0.2">
      <c r="A68" s="163">
        <v>12</v>
      </c>
      <c r="B68" s="164" t="s">
        <v>197</v>
      </c>
      <c r="C68" s="165"/>
      <c r="D68" s="166" t="s">
        <v>163</v>
      </c>
      <c r="E68" s="166"/>
      <c r="F68" s="166"/>
      <c r="G68" s="166"/>
      <c r="H68" s="166"/>
      <c r="I68" s="217" t="s">
        <v>198</v>
      </c>
      <c r="J68" s="168" t="s">
        <v>110</v>
      </c>
      <c r="K68" s="169">
        <f>227415*85%</f>
        <v>193302.75</v>
      </c>
      <c r="L68" s="195" t="s">
        <v>166</v>
      </c>
      <c r="M68" s="171" t="s">
        <v>199</v>
      </c>
    </row>
    <row r="69" spans="1:54" ht="23.25" customHeight="1" x14ac:dyDescent="0.2">
      <c r="A69" s="173"/>
      <c r="B69" s="174"/>
      <c r="C69" s="175"/>
      <c r="D69" s="176"/>
      <c r="E69" s="176"/>
      <c r="F69" s="176"/>
      <c r="G69" s="176"/>
      <c r="H69" s="176"/>
      <c r="I69" s="167" t="s">
        <v>200</v>
      </c>
      <c r="J69" s="183" t="s">
        <v>110</v>
      </c>
      <c r="K69" s="198">
        <f>227415*5%</f>
        <v>11370.75</v>
      </c>
      <c r="L69" s="197"/>
      <c r="M69" s="181"/>
    </row>
    <row r="70" spans="1:54" ht="23.25" customHeight="1" x14ac:dyDescent="0.2">
      <c r="A70" s="173"/>
      <c r="B70" s="174"/>
      <c r="C70" s="175"/>
      <c r="D70" s="176"/>
      <c r="E70" s="176"/>
      <c r="F70" s="176"/>
      <c r="G70" s="176"/>
      <c r="H70" s="176"/>
      <c r="I70" s="184" t="s">
        <v>201</v>
      </c>
      <c r="J70" s="183" t="s">
        <v>145</v>
      </c>
      <c r="K70" s="198">
        <f>227415*5%</f>
        <v>11370.75</v>
      </c>
      <c r="L70" s="197"/>
      <c r="M70" s="181"/>
    </row>
    <row r="71" spans="1:54" ht="23.25" customHeight="1" x14ac:dyDescent="0.2">
      <c r="A71" s="173"/>
      <c r="B71" s="174"/>
      <c r="C71" s="175"/>
      <c r="D71" s="176"/>
      <c r="E71" s="176"/>
      <c r="F71" s="176"/>
      <c r="G71" s="176"/>
      <c r="H71" s="176"/>
      <c r="I71" s="167" t="s">
        <v>202</v>
      </c>
      <c r="J71" s="183" t="s">
        <v>196</v>
      </c>
      <c r="K71" s="200">
        <f>227415*5%</f>
        <v>11370.75</v>
      </c>
      <c r="L71" s="197"/>
      <c r="M71" s="181"/>
    </row>
    <row r="72" spans="1:54" ht="23.25" customHeight="1" x14ac:dyDescent="0.2">
      <c r="A72" s="185"/>
      <c r="B72" s="186"/>
      <c r="C72" s="187"/>
      <c r="D72" s="188"/>
      <c r="E72" s="188"/>
      <c r="F72" s="188"/>
      <c r="G72" s="188"/>
      <c r="H72" s="188"/>
      <c r="I72" s="202"/>
      <c r="J72" s="190"/>
      <c r="K72" s="209">
        <f>SUM(K68:K71)</f>
        <v>227415</v>
      </c>
      <c r="L72" s="205"/>
      <c r="M72" s="193"/>
    </row>
    <row r="73" spans="1:54" ht="23.25" customHeight="1" x14ac:dyDescent="0.2">
      <c r="A73" s="163">
        <v>13</v>
      </c>
      <c r="B73" s="164" t="s">
        <v>203</v>
      </c>
      <c r="C73" s="221"/>
      <c r="D73" s="222" t="s">
        <v>163</v>
      </c>
      <c r="E73" s="166"/>
      <c r="F73" s="166"/>
      <c r="G73" s="166"/>
      <c r="H73" s="166"/>
      <c r="I73" s="167" t="s">
        <v>204</v>
      </c>
      <c r="J73" s="223" t="s">
        <v>110</v>
      </c>
      <c r="K73" s="210">
        <f>227920*80%</f>
        <v>182336</v>
      </c>
      <c r="L73" s="195" t="s">
        <v>166</v>
      </c>
      <c r="M73" s="171" t="s">
        <v>205</v>
      </c>
    </row>
    <row r="74" spans="1:54" ht="23.25" customHeight="1" x14ac:dyDescent="0.2">
      <c r="A74" s="173"/>
      <c r="B74" s="174"/>
      <c r="C74" s="224"/>
      <c r="D74" s="225"/>
      <c r="E74" s="176"/>
      <c r="F74" s="176"/>
      <c r="G74" s="176"/>
      <c r="H74" s="176"/>
      <c r="I74" s="177" t="s">
        <v>206</v>
      </c>
      <c r="J74" s="207" t="s">
        <v>145</v>
      </c>
      <c r="K74" s="214">
        <f>227920*5%</f>
        <v>11396</v>
      </c>
      <c r="L74" s="197"/>
      <c r="M74" s="181"/>
    </row>
    <row r="75" spans="1:54" ht="23.25" customHeight="1" x14ac:dyDescent="0.2">
      <c r="A75" s="173"/>
      <c r="B75" s="174"/>
      <c r="C75" s="224"/>
      <c r="D75" s="225"/>
      <c r="E75" s="176"/>
      <c r="F75" s="176"/>
      <c r="G75" s="176"/>
      <c r="H75" s="176"/>
      <c r="I75" s="177" t="s">
        <v>207</v>
      </c>
      <c r="J75" s="168" t="s">
        <v>147</v>
      </c>
      <c r="K75" s="214">
        <f>227920*5%</f>
        <v>11396</v>
      </c>
      <c r="L75" s="197"/>
      <c r="M75" s="181"/>
    </row>
    <row r="76" spans="1:54" ht="23.25" customHeight="1" x14ac:dyDescent="0.2">
      <c r="A76" s="173"/>
      <c r="B76" s="174"/>
      <c r="C76" s="224"/>
      <c r="D76" s="225"/>
      <c r="E76" s="176"/>
      <c r="F76" s="176"/>
      <c r="G76" s="176"/>
      <c r="H76" s="176"/>
      <c r="I76" s="177" t="s">
        <v>208</v>
      </c>
      <c r="J76" s="183" t="s">
        <v>209</v>
      </c>
      <c r="K76" s="201">
        <f>227920*5%</f>
        <v>11396</v>
      </c>
      <c r="L76" s="197"/>
      <c r="M76" s="181"/>
    </row>
    <row r="77" spans="1:54" s="227" customFormat="1" ht="23.25" customHeight="1" x14ac:dyDescent="0.2">
      <c r="A77" s="173"/>
      <c r="B77" s="174"/>
      <c r="C77" s="224"/>
      <c r="D77" s="225"/>
      <c r="E77" s="176"/>
      <c r="F77" s="176"/>
      <c r="G77" s="176"/>
      <c r="H77" s="176"/>
      <c r="I77" s="177" t="s">
        <v>210</v>
      </c>
      <c r="J77" s="226" t="s">
        <v>211</v>
      </c>
      <c r="K77" s="214">
        <f>227920*5%</f>
        <v>11396</v>
      </c>
      <c r="L77" s="197"/>
      <c r="M77" s="181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32"/>
      <c r="AA77" s="132"/>
      <c r="AB77" s="132"/>
      <c r="AC77" s="132"/>
      <c r="AD77" s="132"/>
      <c r="AE77" s="132"/>
      <c r="AF77" s="132"/>
      <c r="AG77" s="132"/>
      <c r="AH77" s="132"/>
      <c r="AI77" s="132"/>
      <c r="AJ77" s="132"/>
      <c r="AK77" s="132"/>
      <c r="AL77" s="132"/>
      <c r="AM77" s="132"/>
      <c r="AN77" s="132"/>
      <c r="AO77" s="132"/>
      <c r="AP77" s="132"/>
      <c r="AQ77" s="132"/>
      <c r="AR77" s="132"/>
      <c r="AS77" s="132"/>
      <c r="AT77" s="132"/>
      <c r="AU77" s="132"/>
      <c r="AV77" s="132"/>
      <c r="AW77" s="132"/>
      <c r="AX77" s="132"/>
      <c r="AY77" s="132"/>
      <c r="AZ77" s="132"/>
      <c r="BA77" s="132"/>
      <c r="BB77" s="132"/>
    </row>
    <row r="78" spans="1:54" ht="23.25" customHeight="1" x14ac:dyDescent="0.2">
      <c r="A78" s="185"/>
      <c r="B78" s="186"/>
      <c r="C78" s="228"/>
      <c r="D78" s="229"/>
      <c r="E78" s="188"/>
      <c r="F78" s="188"/>
      <c r="G78" s="188"/>
      <c r="H78" s="188"/>
      <c r="I78" s="202"/>
      <c r="J78" s="203"/>
      <c r="K78" s="204">
        <f>SUM(K73:K77)</f>
        <v>227920</v>
      </c>
      <c r="L78" s="205"/>
      <c r="M78" s="193"/>
      <c r="N78" s="172"/>
    </row>
    <row r="79" spans="1:54" ht="23.25" customHeight="1" x14ac:dyDescent="0.2">
      <c r="A79" s="163">
        <v>14</v>
      </c>
      <c r="B79" s="164" t="s">
        <v>212</v>
      </c>
      <c r="C79" s="165"/>
      <c r="D79" s="166" t="s">
        <v>163</v>
      </c>
      <c r="E79" s="166"/>
      <c r="F79" s="166"/>
      <c r="G79" s="166"/>
      <c r="H79" s="166"/>
      <c r="I79" s="217" t="s">
        <v>213</v>
      </c>
      <c r="J79" s="168" t="s">
        <v>110</v>
      </c>
      <c r="K79" s="212">
        <f>110800*50%</f>
        <v>55400</v>
      </c>
      <c r="L79" s="170" t="s">
        <v>166</v>
      </c>
      <c r="M79" s="171" t="s">
        <v>214</v>
      </c>
    </row>
    <row r="80" spans="1:54" ht="23.25" customHeight="1" x14ac:dyDescent="0.2">
      <c r="A80" s="173"/>
      <c r="B80" s="174"/>
      <c r="C80" s="175"/>
      <c r="D80" s="176"/>
      <c r="E80" s="176"/>
      <c r="F80" s="176"/>
      <c r="G80" s="176"/>
      <c r="H80" s="176"/>
      <c r="I80" s="167" t="s">
        <v>215</v>
      </c>
      <c r="J80" s="183" t="s">
        <v>110</v>
      </c>
      <c r="K80" s="201">
        <f>110800*10%</f>
        <v>11080</v>
      </c>
      <c r="L80" s="180"/>
      <c r="M80" s="181"/>
    </row>
    <row r="81" spans="1:54" ht="23.25" customHeight="1" x14ac:dyDescent="0.2">
      <c r="A81" s="173"/>
      <c r="B81" s="174"/>
      <c r="C81" s="175"/>
      <c r="D81" s="176"/>
      <c r="E81" s="176"/>
      <c r="F81" s="176"/>
      <c r="G81" s="176"/>
      <c r="H81" s="176"/>
      <c r="I81" s="184" t="s">
        <v>216</v>
      </c>
      <c r="J81" s="226" t="s">
        <v>110</v>
      </c>
      <c r="K81" s="182">
        <f>110800*10%</f>
        <v>11080</v>
      </c>
      <c r="L81" s="180"/>
      <c r="M81" s="181"/>
    </row>
    <row r="82" spans="1:54" ht="23.25" customHeight="1" x14ac:dyDescent="0.2">
      <c r="A82" s="173"/>
      <c r="B82" s="174"/>
      <c r="C82" s="175"/>
      <c r="D82" s="176"/>
      <c r="E82" s="176"/>
      <c r="F82" s="176"/>
      <c r="G82" s="176"/>
      <c r="H82" s="176"/>
      <c r="I82" s="167" t="s">
        <v>217</v>
      </c>
      <c r="J82" s="226" t="s">
        <v>110</v>
      </c>
      <c r="K82" s="230">
        <f>110800*10%</f>
        <v>11080</v>
      </c>
      <c r="L82" s="180"/>
      <c r="M82" s="181"/>
    </row>
    <row r="83" spans="1:54" s="227" customFormat="1" ht="23.25" customHeight="1" x14ac:dyDescent="0.2">
      <c r="A83" s="173"/>
      <c r="B83" s="174"/>
      <c r="C83" s="175"/>
      <c r="D83" s="176"/>
      <c r="E83" s="176"/>
      <c r="F83" s="176"/>
      <c r="G83" s="176"/>
      <c r="H83" s="176"/>
      <c r="I83" s="177" t="s">
        <v>218</v>
      </c>
      <c r="J83" s="207" t="s">
        <v>183</v>
      </c>
      <c r="K83" s="230">
        <f>110800*10%</f>
        <v>11080</v>
      </c>
      <c r="L83" s="180"/>
      <c r="M83" s="181"/>
      <c r="N83" s="132"/>
      <c r="O83" s="132"/>
      <c r="P83" s="132"/>
      <c r="Q83" s="132"/>
      <c r="R83" s="132"/>
      <c r="S83" s="132"/>
      <c r="T83" s="132"/>
      <c r="U83" s="132"/>
      <c r="V83" s="132"/>
      <c r="W83" s="132"/>
      <c r="X83" s="132"/>
      <c r="Y83" s="132"/>
      <c r="Z83" s="132"/>
      <c r="AA83" s="132"/>
      <c r="AB83" s="132"/>
      <c r="AC83" s="132"/>
      <c r="AD83" s="132"/>
      <c r="AE83" s="132"/>
      <c r="AF83" s="132"/>
      <c r="AG83" s="132"/>
      <c r="AH83" s="132"/>
      <c r="AI83" s="132"/>
      <c r="AJ83" s="132"/>
      <c r="AK83" s="132"/>
      <c r="AL83" s="132"/>
      <c r="AM83" s="132"/>
      <c r="AN83" s="132"/>
      <c r="AO83" s="132"/>
      <c r="AP83" s="132"/>
      <c r="AQ83" s="132"/>
      <c r="AR83" s="132"/>
      <c r="AS83" s="132"/>
      <c r="AT83" s="132"/>
      <c r="AU83" s="132"/>
      <c r="AV83" s="132"/>
      <c r="AW83" s="132"/>
      <c r="AX83" s="132"/>
      <c r="AY83" s="132"/>
      <c r="AZ83" s="132"/>
      <c r="BA83" s="132"/>
      <c r="BB83" s="132"/>
    </row>
    <row r="84" spans="1:54" ht="23.25" customHeight="1" x14ac:dyDescent="0.2">
      <c r="A84" s="173"/>
      <c r="B84" s="174"/>
      <c r="C84" s="175"/>
      <c r="D84" s="176"/>
      <c r="E84" s="176"/>
      <c r="F84" s="176"/>
      <c r="G84" s="176"/>
      <c r="H84" s="176"/>
      <c r="I84" s="184" t="s">
        <v>219</v>
      </c>
      <c r="J84" s="168" t="s">
        <v>110</v>
      </c>
      <c r="K84" s="231">
        <f>110800*10%</f>
        <v>11080</v>
      </c>
      <c r="L84" s="180"/>
      <c r="M84" s="181"/>
    </row>
    <row r="85" spans="1:54" ht="23.25" customHeight="1" x14ac:dyDescent="0.2">
      <c r="A85" s="185"/>
      <c r="B85" s="186"/>
      <c r="C85" s="187"/>
      <c r="D85" s="188"/>
      <c r="E85" s="188"/>
      <c r="F85" s="188"/>
      <c r="G85" s="188"/>
      <c r="H85" s="188"/>
      <c r="I85" s="189"/>
      <c r="J85" s="190"/>
      <c r="K85" s="209">
        <f>SUM(K79:K84)</f>
        <v>110800</v>
      </c>
      <c r="L85" s="192"/>
      <c r="M85" s="193"/>
    </row>
    <row r="86" spans="1:54" ht="23.25" customHeight="1" x14ac:dyDescent="0.2">
      <c r="A86" s="163">
        <v>15</v>
      </c>
      <c r="B86" s="164" t="s">
        <v>220</v>
      </c>
      <c r="C86" s="165"/>
      <c r="D86" s="166" t="s">
        <v>163</v>
      </c>
      <c r="E86" s="166"/>
      <c r="F86" s="166"/>
      <c r="G86" s="166"/>
      <c r="H86" s="166" t="s">
        <v>164</v>
      </c>
      <c r="I86" s="167" t="s">
        <v>221</v>
      </c>
      <c r="J86" s="168" t="s">
        <v>110</v>
      </c>
      <c r="K86" s="169">
        <f>155000*90%</f>
        <v>139500</v>
      </c>
      <c r="L86" s="195" t="s">
        <v>166</v>
      </c>
      <c r="M86" s="171" t="s">
        <v>222</v>
      </c>
    </row>
    <row r="87" spans="1:54" ht="23.25" customHeight="1" x14ac:dyDescent="0.2">
      <c r="A87" s="173"/>
      <c r="B87" s="174"/>
      <c r="C87" s="175"/>
      <c r="D87" s="176"/>
      <c r="E87" s="176"/>
      <c r="F87" s="176"/>
      <c r="G87" s="176"/>
      <c r="H87" s="176"/>
      <c r="I87" s="184" t="s">
        <v>223</v>
      </c>
      <c r="J87" s="183" t="s">
        <v>224</v>
      </c>
      <c r="K87" s="198">
        <f>155000*10%</f>
        <v>15500</v>
      </c>
      <c r="L87" s="197"/>
      <c r="M87" s="181"/>
    </row>
    <row r="88" spans="1:54" ht="23.25" customHeight="1" x14ac:dyDescent="0.2">
      <c r="A88" s="185"/>
      <c r="B88" s="186"/>
      <c r="C88" s="187"/>
      <c r="D88" s="188"/>
      <c r="E88" s="188"/>
      <c r="F88" s="188"/>
      <c r="G88" s="188"/>
      <c r="H88" s="188"/>
      <c r="I88" s="189"/>
      <c r="J88" s="190"/>
      <c r="K88" s="211">
        <f>SUM(K86:K87)</f>
        <v>155000</v>
      </c>
      <c r="L88" s="205"/>
      <c r="M88" s="193"/>
    </row>
    <row r="89" spans="1:54" ht="58.5" customHeight="1" x14ac:dyDescent="0.2">
      <c r="A89" s="232">
        <v>16</v>
      </c>
      <c r="B89" s="233" t="s">
        <v>225</v>
      </c>
      <c r="C89" s="234" t="s">
        <v>225</v>
      </c>
      <c r="D89" s="235" t="s">
        <v>163</v>
      </c>
      <c r="E89" s="235"/>
      <c r="F89" s="235"/>
      <c r="G89" s="235"/>
      <c r="H89" s="236"/>
      <c r="I89" s="237" t="s">
        <v>226</v>
      </c>
      <c r="J89" s="238" t="s">
        <v>117</v>
      </c>
      <c r="K89" s="239">
        <v>155000</v>
      </c>
      <c r="L89" s="240" t="s">
        <v>166</v>
      </c>
      <c r="M89" s="241" t="s">
        <v>227</v>
      </c>
    </row>
    <row r="90" spans="1:54" ht="23.25" customHeight="1" x14ac:dyDescent="0.2">
      <c r="A90" s="163">
        <v>17</v>
      </c>
      <c r="B90" s="164" t="s">
        <v>228</v>
      </c>
      <c r="C90" s="165"/>
      <c r="D90" s="166" t="s">
        <v>163</v>
      </c>
      <c r="E90" s="166"/>
      <c r="F90" s="166"/>
      <c r="G90" s="166"/>
      <c r="H90" s="166" t="s">
        <v>164</v>
      </c>
      <c r="I90" s="167" t="s">
        <v>229</v>
      </c>
      <c r="J90" s="168" t="s">
        <v>110</v>
      </c>
      <c r="K90" s="169">
        <f>155000*90%</f>
        <v>139500</v>
      </c>
      <c r="L90" s="180" t="s">
        <v>166</v>
      </c>
      <c r="M90" s="181"/>
    </row>
    <row r="91" spans="1:54" ht="23.25" customHeight="1" x14ac:dyDescent="0.2">
      <c r="A91" s="173"/>
      <c r="B91" s="174"/>
      <c r="C91" s="175"/>
      <c r="D91" s="176"/>
      <c r="E91" s="176"/>
      <c r="F91" s="176"/>
      <c r="G91" s="176"/>
      <c r="H91" s="176"/>
      <c r="I91" s="242" t="s">
        <v>230</v>
      </c>
      <c r="J91" s="183" t="s">
        <v>117</v>
      </c>
      <c r="K91" s="208">
        <f>155000*10%</f>
        <v>15500</v>
      </c>
      <c r="L91" s="180"/>
      <c r="M91" s="181"/>
    </row>
    <row r="92" spans="1:54" ht="23.25" customHeight="1" x14ac:dyDescent="0.2">
      <c r="A92" s="185"/>
      <c r="B92" s="186"/>
      <c r="C92" s="187"/>
      <c r="D92" s="188"/>
      <c r="E92" s="188"/>
      <c r="F92" s="188"/>
      <c r="G92" s="188"/>
      <c r="H92" s="188"/>
      <c r="I92" s="189"/>
      <c r="J92" s="190"/>
      <c r="K92" s="209">
        <f>SUM(K90:K91)</f>
        <v>155000</v>
      </c>
      <c r="L92" s="192"/>
      <c r="M92" s="193"/>
    </row>
    <row r="93" spans="1:54" ht="23.25" customHeight="1" x14ac:dyDescent="0.2">
      <c r="A93" s="163">
        <v>18</v>
      </c>
      <c r="B93" s="164" t="s">
        <v>231</v>
      </c>
      <c r="C93" s="165"/>
      <c r="D93" s="166" t="s">
        <v>163</v>
      </c>
      <c r="E93" s="166"/>
      <c r="F93" s="166"/>
      <c r="G93" s="166"/>
      <c r="H93" s="166"/>
      <c r="I93" s="217" t="s">
        <v>232</v>
      </c>
      <c r="J93" s="168" t="s">
        <v>110</v>
      </c>
      <c r="K93" s="169">
        <f>155000*80%</f>
        <v>124000</v>
      </c>
      <c r="L93" s="170" t="s">
        <v>166</v>
      </c>
      <c r="M93" s="171" t="s">
        <v>233</v>
      </c>
    </row>
    <row r="94" spans="1:54" ht="23.25" customHeight="1" x14ac:dyDescent="0.2">
      <c r="A94" s="173"/>
      <c r="B94" s="174"/>
      <c r="C94" s="175"/>
      <c r="D94" s="176"/>
      <c r="E94" s="176"/>
      <c r="F94" s="176"/>
      <c r="G94" s="176"/>
      <c r="H94" s="176"/>
      <c r="I94" s="167" t="s">
        <v>234</v>
      </c>
      <c r="J94" s="183" t="s">
        <v>110</v>
      </c>
      <c r="K94" s="179">
        <f>155000*5%</f>
        <v>7750</v>
      </c>
      <c r="L94" s="180"/>
      <c r="M94" s="181"/>
    </row>
    <row r="95" spans="1:54" ht="23.25" customHeight="1" x14ac:dyDescent="0.2">
      <c r="A95" s="173"/>
      <c r="B95" s="174"/>
      <c r="C95" s="175"/>
      <c r="D95" s="176"/>
      <c r="E95" s="176"/>
      <c r="F95" s="176"/>
      <c r="G95" s="176"/>
      <c r="H95" s="176"/>
      <c r="I95" s="177" t="s">
        <v>235</v>
      </c>
      <c r="J95" s="183" t="s">
        <v>236</v>
      </c>
      <c r="K95" s="179">
        <f>155000*5%</f>
        <v>7750</v>
      </c>
      <c r="L95" s="180"/>
      <c r="M95" s="181"/>
      <c r="N95" s="172"/>
    </row>
    <row r="96" spans="1:54" ht="23.25" customHeight="1" x14ac:dyDescent="0.2">
      <c r="A96" s="173"/>
      <c r="B96" s="174"/>
      <c r="C96" s="175"/>
      <c r="D96" s="176"/>
      <c r="E96" s="176"/>
      <c r="F96" s="176"/>
      <c r="G96" s="176"/>
      <c r="H96" s="176"/>
      <c r="I96" s="184" t="s">
        <v>237</v>
      </c>
      <c r="J96" s="183" t="s">
        <v>110</v>
      </c>
      <c r="K96" s="179">
        <f>155000*5%</f>
        <v>7750</v>
      </c>
      <c r="L96" s="180"/>
      <c r="M96" s="181"/>
    </row>
    <row r="97" spans="1:14" ht="23.25" customHeight="1" x14ac:dyDescent="0.2">
      <c r="A97" s="173"/>
      <c r="B97" s="174"/>
      <c r="C97" s="175"/>
      <c r="D97" s="176"/>
      <c r="E97" s="176"/>
      <c r="F97" s="176"/>
      <c r="G97" s="176"/>
      <c r="H97" s="176"/>
      <c r="I97" s="184" t="s">
        <v>238</v>
      </c>
      <c r="J97" s="178" t="s">
        <v>117</v>
      </c>
      <c r="K97" s="179">
        <f>155000*5%</f>
        <v>7750</v>
      </c>
      <c r="L97" s="180"/>
      <c r="M97" s="181"/>
    </row>
    <row r="98" spans="1:14" ht="23.25" customHeight="1" x14ac:dyDescent="0.2">
      <c r="A98" s="185"/>
      <c r="B98" s="186"/>
      <c r="C98" s="187"/>
      <c r="D98" s="188"/>
      <c r="E98" s="188"/>
      <c r="F98" s="188"/>
      <c r="G98" s="188"/>
      <c r="H98" s="188"/>
      <c r="I98" s="189"/>
      <c r="J98" s="215"/>
      <c r="K98" s="216">
        <f>SUM(K93:K97)</f>
        <v>155000</v>
      </c>
      <c r="L98" s="192"/>
      <c r="M98" s="193"/>
    </row>
    <row r="99" spans="1:14" ht="23.25" customHeight="1" x14ac:dyDescent="0.2">
      <c r="A99" s="163">
        <v>19</v>
      </c>
      <c r="B99" s="164" t="s">
        <v>239</v>
      </c>
      <c r="C99" s="165"/>
      <c r="D99" s="166" t="s">
        <v>163</v>
      </c>
      <c r="E99" s="166"/>
      <c r="F99" s="166"/>
      <c r="G99" s="166"/>
      <c r="H99" s="166" t="s">
        <v>240</v>
      </c>
      <c r="I99" s="167" t="s">
        <v>241</v>
      </c>
      <c r="J99" s="168" t="s">
        <v>110</v>
      </c>
      <c r="K99" s="210">
        <f>155000*50%</f>
        <v>77500</v>
      </c>
      <c r="L99" s="195" t="s">
        <v>166</v>
      </c>
      <c r="M99" s="171" t="s">
        <v>242</v>
      </c>
    </row>
    <row r="100" spans="1:14" ht="23.25" customHeight="1" x14ac:dyDescent="0.2">
      <c r="A100" s="173"/>
      <c r="B100" s="174"/>
      <c r="C100" s="175"/>
      <c r="D100" s="176"/>
      <c r="E100" s="176"/>
      <c r="F100" s="176"/>
      <c r="G100" s="176"/>
      <c r="H100" s="176"/>
      <c r="I100" s="177" t="s">
        <v>243</v>
      </c>
      <c r="J100" s="183" t="s">
        <v>110</v>
      </c>
      <c r="K100" s="200">
        <f>155000*5%</f>
        <v>7750</v>
      </c>
      <c r="L100" s="197"/>
      <c r="M100" s="181"/>
    </row>
    <row r="101" spans="1:14" ht="23.25" customHeight="1" x14ac:dyDescent="0.2">
      <c r="A101" s="173"/>
      <c r="B101" s="174"/>
      <c r="C101" s="175"/>
      <c r="D101" s="176"/>
      <c r="E101" s="176"/>
      <c r="F101" s="176"/>
      <c r="G101" s="176"/>
      <c r="H101" s="176"/>
      <c r="I101" s="177" t="s">
        <v>244</v>
      </c>
      <c r="J101" s="183" t="s">
        <v>145</v>
      </c>
      <c r="K101" s="200">
        <f>155000*5%</f>
        <v>7750</v>
      </c>
      <c r="L101" s="197"/>
      <c r="M101" s="181"/>
    </row>
    <row r="102" spans="1:14" ht="23.25" customHeight="1" x14ac:dyDescent="0.2">
      <c r="A102" s="173"/>
      <c r="B102" s="174"/>
      <c r="C102" s="175"/>
      <c r="D102" s="176"/>
      <c r="E102" s="176"/>
      <c r="F102" s="176"/>
      <c r="G102" s="176"/>
      <c r="H102" s="176"/>
      <c r="I102" s="184" t="s">
        <v>159</v>
      </c>
      <c r="J102" s="178" t="s">
        <v>110</v>
      </c>
      <c r="K102" s="200">
        <f>155000*5%</f>
        <v>7750</v>
      </c>
      <c r="L102" s="197"/>
      <c r="M102" s="181"/>
    </row>
    <row r="103" spans="1:14" ht="23.25" customHeight="1" x14ac:dyDescent="0.2">
      <c r="A103" s="173"/>
      <c r="B103" s="174"/>
      <c r="C103" s="175"/>
      <c r="D103" s="176"/>
      <c r="E103" s="176"/>
      <c r="F103" s="176"/>
      <c r="G103" s="176"/>
      <c r="H103" s="176"/>
      <c r="I103" s="184" t="s">
        <v>245</v>
      </c>
      <c r="J103" s="183" t="s">
        <v>110</v>
      </c>
      <c r="K103" s="200">
        <f>155000*5%</f>
        <v>7750</v>
      </c>
      <c r="L103" s="197"/>
      <c r="M103" s="193"/>
    </row>
    <row r="104" spans="1:14" ht="23.25" customHeight="1" x14ac:dyDescent="0.2">
      <c r="A104" s="173"/>
      <c r="B104" s="174"/>
      <c r="C104" s="175"/>
      <c r="D104" s="176"/>
      <c r="E104" s="176"/>
      <c r="F104" s="176"/>
      <c r="G104" s="176"/>
      <c r="H104" s="176"/>
      <c r="I104" s="184" t="s">
        <v>246</v>
      </c>
      <c r="J104" s="183" t="s">
        <v>247</v>
      </c>
      <c r="K104" s="243">
        <f>155000*15%</f>
        <v>23250</v>
      </c>
      <c r="L104" s="197"/>
      <c r="M104" s="181"/>
      <c r="N104" s="244"/>
    </row>
    <row r="105" spans="1:14" ht="23.25" customHeight="1" x14ac:dyDescent="0.2">
      <c r="A105" s="173"/>
      <c r="B105" s="174"/>
      <c r="C105" s="175"/>
      <c r="D105" s="176"/>
      <c r="E105" s="176"/>
      <c r="F105" s="176"/>
      <c r="G105" s="176"/>
      <c r="H105" s="176"/>
      <c r="I105" s="167" t="s">
        <v>248</v>
      </c>
      <c r="J105" s="178" t="s">
        <v>247</v>
      </c>
      <c r="K105" s="201">
        <f>155000*5%</f>
        <v>7750</v>
      </c>
      <c r="L105" s="197"/>
      <c r="M105" s="181"/>
    </row>
    <row r="106" spans="1:14" ht="23.25" customHeight="1" x14ac:dyDescent="0.2">
      <c r="A106" s="173"/>
      <c r="B106" s="174"/>
      <c r="C106" s="175"/>
      <c r="D106" s="176"/>
      <c r="E106" s="176"/>
      <c r="F106" s="176"/>
      <c r="G106" s="176"/>
      <c r="H106" s="176"/>
      <c r="I106" s="184" t="s">
        <v>249</v>
      </c>
      <c r="J106" s="168" t="s">
        <v>110</v>
      </c>
      <c r="K106" s="230">
        <f>155000*2%</f>
        <v>3100</v>
      </c>
      <c r="L106" s="197"/>
      <c r="M106" s="181"/>
    </row>
    <row r="107" spans="1:14" ht="23.25" customHeight="1" x14ac:dyDescent="0.2">
      <c r="A107" s="173"/>
      <c r="B107" s="174"/>
      <c r="C107" s="175"/>
      <c r="D107" s="176"/>
      <c r="E107" s="176"/>
      <c r="F107" s="176"/>
      <c r="G107" s="176"/>
      <c r="H107" s="176"/>
      <c r="I107" s="167" t="s">
        <v>250</v>
      </c>
      <c r="J107" s="183" t="s">
        <v>110</v>
      </c>
      <c r="K107" s="230">
        <f>155000*2%</f>
        <v>3100</v>
      </c>
      <c r="L107" s="197"/>
      <c r="M107" s="193"/>
    </row>
    <row r="108" spans="1:14" ht="23.25" customHeight="1" x14ac:dyDescent="0.2">
      <c r="A108" s="173"/>
      <c r="B108" s="174"/>
      <c r="C108" s="175"/>
      <c r="D108" s="176"/>
      <c r="E108" s="176"/>
      <c r="F108" s="176"/>
      <c r="G108" s="176"/>
      <c r="H108" s="176"/>
      <c r="I108" s="177" t="s">
        <v>251</v>
      </c>
      <c r="J108" s="183" t="s">
        <v>126</v>
      </c>
      <c r="K108" s="230">
        <f>155000*2%</f>
        <v>3100</v>
      </c>
      <c r="L108" s="197"/>
      <c r="M108" s="181"/>
    </row>
    <row r="109" spans="1:14" ht="23.25" customHeight="1" x14ac:dyDescent="0.2">
      <c r="A109" s="173"/>
      <c r="B109" s="174"/>
      <c r="C109" s="175"/>
      <c r="D109" s="176"/>
      <c r="E109" s="176"/>
      <c r="F109" s="176"/>
      <c r="G109" s="176"/>
      <c r="H109" s="176"/>
      <c r="I109" s="177" t="s">
        <v>252</v>
      </c>
      <c r="J109" s="178" t="s">
        <v>253</v>
      </c>
      <c r="K109" s="230">
        <f>155000*2%</f>
        <v>3100</v>
      </c>
      <c r="L109" s="197"/>
      <c r="M109" s="181"/>
      <c r="N109" s="172"/>
    </row>
    <row r="110" spans="1:14" ht="23.25" customHeight="1" x14ac:dyDescent="0.2">
      <c r="A110" s="173"/>
      <c r="B110" s="174"/>
      <c r="C110" s="175"/>
      <c r="D110" s="176"/>
      <c r="E110" s="176"/>
      <c r="F110" s="176"/>
      <c r="G110" s="176"/>
      <c r="H110" s="176"/>
      <c r="I110" s="184" t="s">
        <v>254</v>
      </c>
      <c r="J110" s="178" t="s">
        <v>117</v>
      </c>
      <c r="K110" s="230">
        <f>155000*2%</f>
        <v>3100</v>
      </c>
      <c r="L110" s="197"/>
      <c r="M110" s="193"/>
    </row>
    <row r="111" spans="1:14" ht="23.25" customHeight="1" x14ac:dyDescent="0.2">
      <c r="A111" s="185"/>
      <c r="B111" s="186"/>
      <c r="C111" s="187"/>
      <c r="D111" s="188"/>
      <c r="E111" s="188"/>
      <c r="F111" s="188"/>
      <c r="G111" s="188"/>
      <c r="H111" s="188"/>
      <c r="I111" s="189"/>
      <c r="J111" s="215"/>
      <c r="K111" s="204">
        <f>SUM(K99:K110)</f>
        <v>155000</v>
      </c>
      <c r="L111" s="205"/>
      <c r="M111" s="193"/>
    </row>
    <row r="112" spans="1:14" ht="23.25" customHeight="1" x14ac:dyDescent="0.2">
      <c r="A112" s="163">
        <v>20</v>
      </c>
      <c r="B112" s="164" t="s">
        <v>255</v>
      </c>
      <c r="C112" s="165"/>
      <c r="D112" s="245" t="s">
        <v>107</v>
      </c>
      <c r="E112" s="176"/>
      <c r="F112" s="176"/>
      <c r="G112" s="176"/>
      <c r="H112" s="176"/>
      <c r="I112" s="167" t="s">
        <v>256</v>
      </c>
      <c r="J112" s="168" t="s">
        <v>110</v>
      </c>
      <c r="K112" s="169">
        <f>5000*90%</f>
        <v>4500</v>
      </c>
      <c r="L112" s="195" t="s">
        <v>111</v>
      </c>
      <c r="M112" s="181" t="s">
        <v>257</v>
      </c>
    </row>
    <row r="113" spans="1:54" s="227" customFormat="1" ht="23.25" customHeight="1" x14ac:dyDescent="0.2">
      <c r="A113" s="173"/>
      <c r="B113" s="174"/>
      <c r="C113" s="175"/>
      <c r="D113" s="245"/>
      <c r="E113" s="176"/>
      <c r="F113" s="176"/>
      <c r="G113" s="176"/>
      <c r="H113" s="176"/>
      <c r="I113" s="184" t="s">
        <v>258</v>
      </c>
      <c r="J113" s="178" t="s">
        <v>211</v>
      </c>
      <c r="K113" s="198">
        <f>5000*10%</f>
        <v>500</v>
      </c>
      <c r="L113" s="197"/>
      <c r="M113" s="181"/>
      <c r="N113" s="132"/>
      <c r="O113" s="132"/>
      <c r="P113" s="132"/>
      <c r="Q113" s="132"/>
      <c r="R113" s="132"/>
      <c r="S113" s="132"/>
      <c r="T113" s="132"/>
      <c r="U113" s="132"/>
      <c r="V113" s="132"/>
      <c r="W113" s="132"/>
      <c r="X113" s="132"/>
      <c r="Y113" s="132"/>
      <c r="Z113" s="132"/>
      <c r="AA113" s="132"/>
      <c r="AB113" s="132"/>
      <c r="AC113" s="132"/>
      <c r="AD113" s="132"/>
      <c r="AE113" s="132"/>
      <c r="AF113" s="132"/>
      <c r="AG113" s="132"/>
      <c r="AH113" s="132"/>
      <c r="AI113" s="132"/>
      <c r="AJ113" s="132"/>
      <c r="AK113" s="132"/>
      <c r="AL113" s="132"/>
      <c r="AM113" s="132"/>
      <c r="AN113" s="132"/>
      <c r="AO113" s="132"/>
      <c r="AP113" s="132"/>
      <c r="AQ113" s="132"/>
      <c r="AR113" s="132"/>
      <c r="AS113" s="132"/>
      <c r="AT113" s="132"/>
      <c r="AU113" s="132"/>
      <c r="AV113" s="132"/>
      <c r="AW113" s="132"/>
      <c r="AX113" s="132"/>
      <c r="AY113" s="132"/>
      <c r="AZ113" s="132"/>
      <c r="BA113" s="132"/>
      <c r="BB113" s="132"/>
    </row>
    <row r="114" spans="1:54" ht="23.25" customHeight="1" x14ac:dyDescent="0.2">
      <c r="A114" s="185"/>
      <c r="B114" s="186"/>
      <c r="C114" s="187"/>
      <c r="D114" s="246"/>
      <c r="E114" s="188"/>
      <c r="F114" s="188"/>
      <c r="G114" s="188"/>
      <c r="H114" s="188"/>
      <c r="I114" s="202"/>
      <c r="J114" s="215"/>
      <c r="K114" s="247">
        <f>SUM(K112:K113)</f>
        <v>5000</v>
      </c>
      <c r="L114" s="205"/>
      <c r="M114" s="193"/>
    </row>
    <row r="115" spans="1:54" ht="23.25" customHeight="1" x14ac:dyDescent="0.2">
      <c r="A115" s="163">
        <v>21</v>
      </c>
      <c r="B115" s="164" t="s">
        <v>259</v>
      </c>
      <c r="C115" s="165"/>
      <c r="D115" s="245" t="s">
        <v>107</v>
      </c>
      <c r="E115" s="176"/>
      <c r="F115" s="176"/>
      <c r="G115" s="176"/>
      <c r="H115" s="248"/>
      <c r="I115" s="217" t="s">
        <v>260</v>
      </c>
      <c r="J115" s="249" t="s">
        <v>110</v>
      </c>
      <c r="K115" s="201">
        <f>10000*35%</f>
        <v>3500</v>
      </c>
      <c r="L115" s="195" t="s">
        <v>111</v>
      </c>
      <c r="M115" s="171" t="s">
        <v>261</v>
      </c>
    </row>
    <row r="116" spans="1:54" ht="23.25" customHeight="1" x14ac:dyDescent="0.2">
      <c r="A116" s="173"/>
      <c r="B116" s="174"/>
      <c r="C116" s="175"/>
      <c r="D116" s="245"/>
      <c r="E116" s="176"/>
      <c r="F116" s="176"/>
      <c r="G116" s="176"/>
      <c r="H116" s="250"/>
      <c r="I116" s="167" t="s">
        <v>262</v>
      </c>
      <c r="J116" s="168" t="s">
        <v>117</v>
      </c>
      <c r="K116" s="196">
        <f>10000*25%</f>
        <v>2500</v>
      </c>
      <c r="L116" s="197"/>
      <c r="M116" s="181"/>
    </row>
    <row r="117" spans="1:54" ht="23.25" customHeight="1" x14ac:dyDescent="0.2">
      <c r="A117" s="173"/>
      <c r="B117" s="174"/>
      <c r="C117" s="175"/>
      <c r="D117" s="245"/>
      <c r="E117" s="176"/>
      <c r="F117" s="176"/>
      <c r="G117" s="176"/>
      <c r="H117" s="250"/>
      <c r="I117" s="184" t="s">
        <v>263</v>
      </c>
      <c r="J117" s="178" t="s">
        <v>117</v>
      </c>
      <c r="K117" s="200">
        <f t="shared" ref="K117:K124" si="1">10000*5%</f>
        <v>500</v>
      </c>
      <c r="L117" s="197"/>
      <c r="M117" s="181"/>
    </row>
    <row r="118" spans="1:54" ht="23.25" customHeight="1" x14ac:dyDescent="0.2">
      <c r="A118" s="173"/>
      <c r="B118" s="174"/>
      <c r="C118" s="175"/>
      <c r="D118" s="245"/>
      <c r="E118" s="176"/>
      <c r="F118" s="176"/>
      <c r="G118" s="176"/>
      <c r="H118" s="250"/>
      <c r="I118" s="167" t="s">
        <v>264</v>
      </c>
      <c r="J118" s="178" t="s">
        <v>117</v>
      </c>
      <c r="K118" s="201">
        <f t="shared" si="1"/>
        <v>500</v>
      </c>
      <c r="L118" s="197"/>
      <c r="M118" s="181"/>
    </row>
    <row r="119" spans="1:54" ht="23.25" customHeight="1" x14ac:dyDescent="0.2">
      <c r="A119" s="173"/>
      <c r="B119" s="174"/>
      <c r="C119" s="175"/>
      <c r="D119" s="245"/>
      <c r="E119" s="176"/>
      <c r="F119" s="176"/>
      <c r="G119" s="176"/>
      <c r="H119" s="250"/>
      <c r="I119" s="177" t="s">
        <v>265</v>
      </c>
      <c r="J119" s="168" t="s">
        <v>117</v>
      </c>
      <c r="K119" s="214">
        <f t="shared" si="1"/>
        <v>500</v>
      </c>
      <c r="L119" s="197"/>
      <c r="M119" s="181"/>
    </row>
    <row r="120" spans="1:54" ht="23.25" customHeight="1" x14ac:dyDescent="0.2">
      <c r="A120" s="173"/>
      <c r="B120" s="174"/>
      <c r="C120" s="175"/>
      <c r="D120" s="245"/>
      <c r="E120" s="176"/>
      <c r="F120" s="176"/>
      <c r="G120" s="176"/>
      <c r="H120" s="250"/>
      <c r="I120" s="184" t="s">
        <v>152</v>
      </c>
      <c r="J120" s="183" t="s">
        <v>117</v>
      </c>
      <c r="K120" s="200">
        <f t="shared" si="1"/>
        <v>500</v>
      </c>
      <c r="L120" s="197"/>
      <c r="M120" s="181"/>
    </row>
    <row r="121" spans="1:54" ht="23.25" customHeight="1" x14ac:dyDescent="0.2">
      <c r="A121" s="173"/>
      <c r="B121" s="174"/>
      <c r="C121" s="175"/>
      <c r="D121" s="245"/>
      <c r="E121" s="176"/>
      <c r="F121" s="176"/>
      <c r="G121" s="176"/>
      <c r="H121" s="250"/>
      <c r="I121" s="184" t="s">
        <v>266</v>
      </c>
      <c r="J121" s="178" t="s">
        <v>117</v>
      </c>
      <c r="K121" s="200">
        <f t="shared" si="1"/>
        <v>500</v>
      </c>
      <c r="L121" s="197"/>
      <c r="M121" s="181"/>
    </row>
    <row r="122" spans="1:54" ht="23.25" customHeight="1" x14ac:dyDescent="0.2">
      <c r="A122" s="173"/>
      <c r="B122" s="174"/>
      <c r="C122" s="175"/>
      <c r="D122" s="245"/>
      <c r="E122" s="176"/>
      <c r="F122" s="176"/>
      <c r="G122" s="176"/>
      <c r="H122" s="250"/>
      <c r="I122" s="167" t="s">
        <v>267</v>
      </c>
      <c r="J122" s="178" t="s">
        <v>117</v>
      </c>
      <c r="K122" s="201">
        <f t="shared" si="1"/>
        <v>500</v>
      </c>
      <c r="L122" s="197"/>
      <c r="M122" s="181"/>
    </row>
    <row r="123" spans="1:54" ht="23.25" customHeight="1" x14ac:dyDescent="0.2">
      <c r="A123" s="173"/>
      <c r="B123" s="174"/>
      <c r="C123" s="175"/>
      <c r="D123" s="245"/>
      <c r="E123" s="176"/>
      <c r="F123" s="176"/>
      <c r="G123" s="176"/>
      <c r="H123" s="250"/>
      <c r="I123" s="177" t="s">
        <v>268</v>
      </c>
      <c r="J123" s="178" t="s">
        <v>117</v>
      </c>
      <c r="K123" s="198">
        <f t="shared" si="1"/>
        <v>500</v>
      </c>
      <c r="L123" s="197"/>
      <c r="M123" s="181"/>
    </row>
    <row r="124" spans="1:54" ht="23.25" customHeight="1" x14ac:dyDescent="0.2">
      <c r="A124" s="173"/>
      <c r="B124" s="174"/>
      <c r="C124" s="175"/>
      <c r="D124" s="245"/>
      <c r="E124" s="176"/>
      <c r="F124" s="176"/>
      <c r="G124" s="176"/>
      <c r="H124" s="250"/>
      <c r="I124" s="177" t="s">
        <v>269</v>
      </c>
      <c r="J124" s="168" t="s">
        <v>117</v>
      </c>
      <c r="K124" s="196">
        <f t="shared" si="1"/>
        <v>500</v>
      </c>
      <c r="L124" s="197"/>
      <c r="M124" s="181"/>
    </row>
    <row r="125" spans="1:54" ht="23.25" customHeight="1" x14ac:dyDescent="0.2">
      <c r="A125" s="185"/>
      <c r="B125" s="186"/>
      <c r="C125" s="187"/>
      <c r="D125" s="246"/>
      <c r="E125" s="188"/>
      <c r="F125" s="188"/>
      <c r="G125" s="188"/>
      <c r="H125" s="251"/>
      <c r="I125" s="202"/>
      <c r="J125" s="190"/>
      <c r="K125" s="211">
        <f>SUM(K115:K124)</f>
        <v>10000</v>
      </c>
      <c r="L125" s="205"/>
      <c r="M125" s="193"/>
    </row>
    <row r="126" spans="1:54" ht="23.25" customHeight="1" x14ac:dyDescent="0.2">
      <c r="A126" s="163">
        <v>22</v>
      </c>
      <c r="B126" s="164" t="s">
        <v>270</v>
      </c>
      <c r="C126" s="165"/>
      <c r="D126" s="252" t="s">
        <v>107</v>
      </c>
      <c r="E126" s="166"/>
      <c r="F126" s="166"/>
      <c r="G126" s="166"/>
      <c r="H126" s="248"/>
      <c r="I126" s="253" t="s">
        <v>271</v>
      </c>
      <c r="J126" s="194" t="s">
        <v>272</v>
      </c>
      <c r="K126" s="169">
        <f>3000*70%</f>
        <v>2100</v>
      </c>
      <c r="L126" s="195" t="s">
        <v>111</v>
      </c>
      <c r="M126" s="171" t="s">
        <v>273</v>
      </c>
    </row>
    <row r="127" spans="1:54" ht="23.25" customHeight="1" x14ac:dyDescent="0.2">
      <c r="A127" s="173"/>
      <c r="B127" s="174"/>
      <c r="C127" s="175"/>
      <c r="D127" s="245"/>
      <c r="E127" s="176"/>
      <c r="F127" s="176"/>
      <c r="G127" s="176"/>
      <c r="H127" s="250"/>
      <c r="I127" s="177" t="s">
        <v>274</v>
      </c>
      <c r="J127" s="168" t="s">
        <v>275</v>
      </c>
      <c r="K127" s="196">
        <f>3000*10%</f>
        <v>300</v>
      </c>
      <c r="L127" s="197"/>
      <c r="M127" s="181"/>
    </row>
    <row r="128" spans="1:54" ht="23.25" customHeight="1" x14ac:dyDescent="0.2">
      <c r="A128" s="173"/>
      <c r="B128" s="174"/>
      <c r="C128" s="175"/>
      <c r="D128" s="245"/>
      <c r="E128" s="176"/>
      <c r="F128" s="176"/>
      <c r="G128" s="176"/>
      <c r="H128" s="250"/>
      <c r="I128" s="184" t="s">
        <v>276</v>
      </c>
      <c r="J128" s="183" t="s">
        <v>117</v>
      </c>
      <c r="K128" s="200">
        <f>3000*10%</f>
        <v>300</v>
      </c>
      <c r="L128" s="197"/>
      <c r="M128" s="181"/>
    </row>
    <row r="129" spans="1:13" ht="23.25" customHeight="1" x14ac:dyDescent="0.2">
      <c r="A129" s="173"/>
      <c r="B129" s="174"/>
      <c r="C129" s="175"/>
      <c r="D129" s="245"/>
      <c r="E129" s="176"/>
      <c r="F129" s="176"/>
      <c r="G129" s="176"/>
      <c r="H129" s="250"/>
      <c r="I129" s="167" t="s">
        <v>277</v>
      </c>
      <c r="J129" s="183" t="s">
        <v>117</v>
      </c>
      <c r="K129" s="200">
        <f>3000*10%</f>
        <v>300</v>
      </c>
      <c r="L129" s="197"/>
      <c r="M129" s="181"/>
    </row>
    <row r="130" spans="1:13" ht="23.25" customHeight="1" x14ac:dyDescent="0.2">
      <c r="A130" s="185"/>
      <c r="B130" s="186"/>
      <c r="C130" s="187"/>
      <c r="D130" s="246"/>
      <c r="E130" s="188"/>
      <c r="F130" s="188"/>
      <c r="G130" s="188"/>
      <c r="H130" s="251"/>
      <c r="I130" s="202"/>
      <c r="J130" s="190"/>
      <c r="K130" s="209"/>
      <c r="L130" s="205"/>
      <c r="M130" s="193"/>
    </row>
    <row r="131" spans="1:13" ht="23.25" customHeight="1" x14ac:dyDescent="0.2">
      <c r="A131" s="254">
        <v>23</v>
      </c>
      <c r="B131" s="255" t="s">
        <v>278</v>
      </c>
      <c r="C131" s="256" t="s">
        <v>278</v>
      </c>
      <c r="D131" s="257" t="s">
        <v>107</v>
      </c>
      <c r="E131" s="258"/>
      <c r="F131" s="258"/>
      <c r="G131" s="258"/>
      <c r="H131" s="259"/>
      <c r="I131" s="189" t="s">
        <v>279</v>
      </c>
      <c r="J131" s="215" t="s">
        <v>117</v>
      </c>
      <c r="K131" s="260">
        <v>11000</v>
      </c>
      <c r="L131" s="261" t="s">
        <v>111</v>
      </c>
      <c r="M131" s="189" t="s">
        <v>280</v>
      </c>
    </row>
    <row r="132" spans="1:13" ht="23.25" customHeight="1" x14ac:dyDescent="0.2">
      <c r="A132" s="163">
        <v>24</v>
      </c>
      <c r="B132" s="164" t="s">
        <v>281</v>
      </c>
      <c r="C132" s="165"/>
      <c r="D132" s="252" t="s">
        <v>107</v>
      </c>
      <c r="E132" s="166"/>
      <c r="F132" s="166"/>
      <c r="G132" s="166"/>
      <c r="H132" s="166"/>
      <c r="I132" s="167" t="s">
        <v>282</v>
      </c>
      <c r="J132" s="168" t="s">
        <v>117</v>
      </c>
      <c r="K132" s="169">
        <f>11000*35%</f>
        <v>3849.9999999999995</v>
      </c>
      <c r="L132" s="170" t="s">
        <v>111</v>
      </c>
      <c r="M132" s="171" t="s">
        <v>283</v>
      </c>
    </row>
    <row r="133" spans="1:13" ht="23.25" customHeight="1" x14ac:dyDescent="0.2">
      <c r="A133" s="173"/>
      <c r="B133" s="174"/>
      <c r="C133" s="175"/>
      <c r="D133" s="245"/>
      <c r="E133" s="176"/>
      <c r="F133" s="176"/>
      <c r="G133" s="176"/>
      <c r="H133" s="176"/>
      <c r="I133" s="184" t="s">
        <v>284</v>
      </c>
      <c r="J133" s="183" t="s">
        <v>117</v>
      </c>
      <c r="K133" s="179">
        <f>11000*20%</f>
        <v>2200</v>
      </c>
      <c r="L133" s="180"/>
      <c r="M133" s="181"/>
    </row>
    <row r="134" spans="1:13" ht="23.25" customHeight="1" x14ac:dyDescent="0.2">
      <c r="A134" s="173"/>
      <c r="B134" s="174"/>
      <c r="C134" s="175"/>
      <c r="D134" s="245"/>
      <c r="E134" s="176"/>
      <c r="F134" s="176"/>
      <c r="G134" s="176"/>
      <c r="H134" s="176"/>
      <c r="I134" s="167" t="s">
        <v>285</v>
      </c>
      <c r="J134" s="207" t="s">
        <v>117</v>
      </c>
      <c r="K134" s="182">
        <f>11000*15%</f>
        <v>1650</v>
      </c>
      <c r="L134" s="180"/>
      <c r="M134" s="181"/>
    </row>
    <row r="135" spans="1:13" ht="23.25" customHeight="1" x14ac:dyDescent="0.2">
      <c r="A135" s="173"/>
      <c r="B135" s="174"/>
      <c r="C135" s="175"/>
      <c r="D135" s="245"/>
      <c r="E135" s="176"/>
      <c r="F135" s="176"/>
      <c r="G135" s="176"/>
      <c r="H135" s="176"/>
      <c r="I135" s="177" t="s">
        <v>286</v>
      </c>
      <c r="J135" s="168" t="s">
        <v>117</v>
      </c>
      <c r="K135" s="230">
        <f>11000*15%</f>
        <v>1650</v>
      </c>
      <c r="L135" s="180"/>
      <c r="M135" s="181"/>
    </row>
    <row r="136" spans="1:13" ht="23.25" customHeight="1" x14ac:dyDescent="0.2">
      <c r="A136" s="173"/>
      <c r="B136" s="174"/>
      <c r="C136" s="175"/>
      <c r="D136" s="245"/>
      <c r="E136" s="176"/>
      <c r="F136" s="176"/>
      <c r="G136" s="176"/>
      <c r="H136" s="176"/>
      <c r="I136" s="177" t="s">
        <v>287</v>
      </c>
      <c r="J136" s="183" t="s">
        <v>117</v>
      </c>
      <c r="K136" s="201">
        <f>11000*15%</f>
        <v>1650</v>
      </c>
      <c r="L136" s="180"/>
      <c r="M136" s="181"/>
    </row>
    <row r="137" spans="1:13" ht="23.25" customHeight="1" x14ac:dyDescent="0.2">
      <c r="A137" s="185"/>
      <c r="B137" s="186"/>
      <c r="C137" s="187"/>
      <c r="D137" s="246"/>
      <c r="E137" s="188"/>
      <c r="F137" s="188"/>
      <c r="G137" s="188"/>
      <c r="H137" s="188"/>
      <c r="I137" s="202"/>
      <c r="J137" s="203"/>
      <c r="K137" s="216">
        <f>SUM(K132:K136)</f>
        <v>11000</v>
      </c>
      <c r="L137" s="192"/>
      <c r="M137" s="193"/>
    </row>
    <row r="138" spans="1:13" ht="23.25" customHeight="1" x14ac:dyDescent="0.2">
      <c r="A138" s="163">
        <v>25</v>
      </c>
      <c r="B138" s="164" t="s">
        <v>288</v>
      </c>
      <c r="C138" s="165"/>
      <c r="D138" s="252" t="s">
        <v>107</v>
      </c>
      <c r="E138" s="166"/>
      <c r="F138" s="166"/>
      <c r="G138" s="166"/>
      <c r="H138" s="166"/>
      <c r="I138" s="167" t="s">
        <v>289</v>
      </c>
      <c r="J138" s="168" t="s">
        <v>145</v>
      </c>
      <c r="K138" s="169">
        <f>10000*70%</f>
        <v>7000</v>
      </c>
      <c r="L138" s="170" t="s">
        <v>111</v>
      </c>
      <c r="M138" s="171" t="s">
        <v>290</v>
      </c>
    </row>
    <row r="139" spans="1:13" ht="23.25" customHeight="1" x14ac:dyDescent="0.2">
      <c r="A139" s="173"/>
      <c r="B139" s="174"/>
      <c r="C139" s="175"/>
      <c r="D139" s="245"/>
      <c r="E139" s="176"/>
      <c r="F139" s="176"/>
      <c r="G139" s="176"/>
      <c r="H139" s="176"/>
      <c r="I139" s="184" t="s">
        <v>291</v>
      </c>
      <c r="J139" s="178" t="s">
        <v>147</v>
      </c>
      <c r="K139" s="208">
        <f>10000*15%</f>
        <v>1500</v>
      </c>
      <c r="L139" s="180"/>
      <c r="M139" s="181"/>
    </row>
    <row r="140" spans="1:13" ht="23.25" customHeight="1" x14ac:dyDescent="0.2">
      <c r="A140" s="173"/>
      <c r="B140" s="174"/>
      <c r="C140" s="175"/>
      <c r="D140" s="245"/>
      <c r="E140" s="176"/>
      <c r="F140" s="176"/>
      <c r="G140" s="176"/>
      <c r="H140" s="176"/>
      <c r="I140" s="184" t="s">
        <v>292</v>
      </c>
      <c r="J140" s="168" t="s">
        <v>117</v>
      </c>
      <c r="K140" s="230">
        <f>10000*15%</f>
        <v>1500</v>
      </c>
      <c r="L140" s="180"/>
      <c r="M140" s="181"/>
    </row>
    <row r="141" spans="1:13" ht="23.25" customHeight="1" x14ac:dyDescent="0.2">
      <c r="A141" s="185"/>
      <c r="B141" s="186"/>
      <c r="C141" s="187"/>
      <c r="D141" s="246"/>
      <c r="E141" s="188"/>
      <c r="F141" s="188"/>
      <c r="G141" s="188"/>
      <c r="H141" s="188"/>
      <c r="I141" s="189"/>
      <c r="J141" s="190"/>
      <c r="K141" s="209">
        <f>SUM(K138:K140)</f>
        <v>10000</v>
      </c>
      <c r="L141" s="192"/>
      <c r="M141" s="193"/>
    </row>
    <row r="142" spans="1:13" ht="23.25" customHeight="1" x14ac:dyDescent="0.2">
      <c r="A142" s="163">
        <v>26</v>
      </c>
      <c r="B142" s="164" t="s">
        <v>293</v>
      </c>
      <c r="C142" s="165"/>
      <c r="D142" s="252" t="s">
        <v>107</v>
      </c>
      <c r="E142" s="166"/>
      <c r="F142" s="166"/>
      <c r="G142" s="166"/>
      <c r="H142" s="166"/>
      <c r="I142" s="217" t="s">
        <v>294</v>
      </c>
      <c r="J142" s="168" t="s">
        <v>110</v>
      </c>
      <c r="K142" s="169">
        <f>8000*80%</f>
        <v>6400</v>
      </c>
      <c r="L142" s="170" t="s">
        <v>111</v>
      </c>
      <c r="M142" s="171" t="s">
        <v>295</v>
      </c>
    </row>
    <row r="143" spans="1:13" ht="23.25" customHeight="1" x14ac:dyDescent="0.2">
      <c r="A143" s="173"/>
      <c r="B143" s="174"/>
      <c r="C143" s="175"/>
      <c r="D143" s="245"/>
      <c r="E143" s="176"/>
      <c r="F143" s="176"/>
      <c r="G143" s="176"/>
      <c r="H143" s="176"/>
      <c r="I143" s="167" t="s">
        <v>296</v>
      </c>
      <c r="J143" s="226" t="s">
        <v>117</v>
      </c>
      <c r="K143" s="230">
        <f>8000*5%</f>
        <v>400</v>
      </c>
      <c r="L143" s="180"/>
      <c r="M143" s="181"/>
    </row>
    <row r="144" spans="1:13" ht="23.25" customHeight="1" x14ac:dyDescent="0.2">
      <c r="A144" s="173"/>
      <c r="B144" s="174"/>
      <c r="C144" s="175"/>
      <c r="D144" s="245"/>
      <c r="E144" s="176"/>
      <c r="F144" s="176"/>
      <c r="G144" s="176"/>
      <c r="H144" s="176"/>
      <c r="I144" s="184" t="s">
        <v>161</v>
      </c>
      <c r="J144" s="226" t="s">
        <v>117</v>
      </c>
      <c r="K144" s="182">
        <f>8000*5%</f>
        <v>400</v>
      </c>
      <c r="L144" s="180"/>
      <c r="M144" s="181"/>
    </row>
    <row r="145" spans="1:13" ht="23.25" customHeight="1" x14ac:dyDescent="0.2">
      <c r="A145" s="173"/>
      <c r="B145" s="174"/>
      <c r="C145" s="175"/>
      <c r="D145" s="245"/>
      <c r="E145" s="176"/>
      <c r="F145" s="176"/>
      <c r="G145" s="176"/>
      <c r="H145" s="176"/>
      <c r="I145" s="167" t="s">
        <v>297</v>
      </c>
      <c r="J145" s="226" t="s">
        <v>117</v>
      </c>
      <c r="K145" s="230">
        <f>8000*5%</f>
        <v>400</v>
      </c>
      <c r="L145" s="180"/>
      <c r="M145" s="181"/>
    </row>
    <row r="146" spans="1:13" ht="23.25" customHeight="1" x14ac:dyDescent="0.2">
      <c r="A146" s="173"/>
      <c r="B146" s="174"/>
      <c r="C146" s="175"/>
      <c r="D146" s="245"/>
      <c r="E146" s="176"/>
      <c r="F146" s="176"/>
      <c r="G146" s="176"/>
      <c r="H146" s="176"/>
      <c r="I146" s="184" t="s">
        <v>298</v>
      </c>
      <c r="J146" s="178" t="s">
        <v>117</v>
      </c>
      <c r="K146" s="201">
        <f>8000*5%</f>
        <v>400</v>
      </c>
      <c r="L146" s="180"/>
      <c r="M146" s="181"/>
    </row>
    <row r="147" spans="1:13" ht="23.25" customHeight="1" x14ac:dyDescent="0.2">
      <c r="A147" s="185"/>
      <c r="B147" s="186"/>
      <c r="C147" s="187"/>
      <c r="D147" s="246"/>
      <c r="E147" s="188"/>
      <c r="F147" s="188"/>
      <c r="G147" s="188"/>
      <c r="H147" s="188"/>
      <c r="I147" s="189"/>
      <c r="J147" s="215"/>
      <c r="K147" s="216">
        <f>SUM(K142:K146)</f>
        <v>8000</v>
      </c>
      <c r="L147" s="192"/>
      <c r="M147" s="193"/>
    </row>
    <row r="148" spans="1:13" ht="23.25" customHeight="1" x14ac:dyDescent="0.2">
      <c r="A148" s="163">
        <v>27</v>
      </c>
      <c r="B148" s="164" t="s">
        <v>299</v>
      </c>
      <c r="C148" s="165"/>
      <c r="D148" s="252" t="s">
        <v>107</v>
      </c>
      <c r="E148" s="166"/>
      <c r="F148" s="166"/>
      <c r="G148" s="166"/>
      <c r="H148" s="166"/>
      <c r="I148" s="167" t="s">
        <v>300</v>
      </c>
      <c r="J148" s="168" t="s">
        <v>110</v>
      </c>
      <c r="K148" s="169">
        <f>8000*70%</f>
        <v>5600</v>
      </c>
      <c r="L148" s="195" t="s">
        <v>111</v>
      </c>
      <c r="M148" s="171" t="s">
        <v>301</v>
      </c>
    </row>
    <row r="149" spans="1:13" ht="23.25" customHeight="1" x14ac:dyDescent="0.2">
      <c r="A149" s="173"/>
      <c r="B149" s="174"/>
      <c r="C149" s="175"/>
      <c r="D149" s="245"/>
      <c r="E149" s="176"/>
      <c r="F149" s="176"/>
      <c r="G149" s="176"/>
      <c r="H149" s="176"/>
      <c r="I149" s="184" t="s">
        <v>302</v>
      </c>
      <c r="J149" s="183" t="s">
        <v>117</v>
      </c>
      <c r="K149" s="200">
        <f>8000*20%</f>
        <v>1600</v>
      </c>
      <c r="L149" s="197"/>
      <c r="M149" s="181"/>
    </row>
    <row r="150" spans="1:13" ht="23.25" customHeight="1" x14ac:dyDescent="0.2">
      <c r="A150" s="173"/>
      <c r="B150" s="174"/>
      <c r="C150" s="175"/>
      <c r="D150" s="245"/>
      <c r="E150" s="176"/>
      <c r="F150" s="176"/>
      <c r="G150" s="176"/>
      <c r="H150" s="176"/>
      <c r="I150" s="167" t="s">
        <v>303</v>
      </c>
      <c r="J150" s="183" t="s">
        <v>304</v>
      </c>
      <c r="K150" s="200">
        <f>8000*5%</f>
        <v>400</v>
      </c>
      <c r="L150" s="197"/>
      <c r="M150" s="181"/>
    </row>
    <row r="151" spans="1:13" ht="23.25" customHeight="1" x14ac:dyDescent="0.2">
      <c r="A151" s="173"/>
      <c r="B151" s="174"/>
      <c r="C151" s="175"/>
      <c r="D151" s="245"/>
      <c r="E151" s="176"/>
      <c r="F151" s="176"/>
      <c r="G151" s="176"/>
      <c r="H151" s="176"/>
      <c r="I151" s="177" t="s">
        <v>305</v>
      </c>
      <c r="J151" s="178" t="s">
        <v>117</v>
      </c>
      <c r="K151" s="200">
        <f>8000*5%</f>
        <v>400</v>
      </c>
      <c r="L151" s="197"/>
      <c r="M151" s="181"/>
    </row>
    <row r="152" spans="1:13" ht="23.25" customHeight="1" x14ac:dyDescent="0.2">
      <c r="A152" s="185"/>
      <c r="B152" s="186"/>
      <c r="C152" s="187"/>
      <c r="D152" s="246"/>
      <c r="E152" s="188"/>
      <c r="F152" s="188"/>
      <c r="G152" s="188"/>
      <c r="H152" s="188"/>
      <c r="I152" s="202"/>
      <c r="J152" s="215"/>
      <c r="K152" s="209">
        <f>SUM(K148:K151)</f>
        <v>8000</v>
      </c>
      <c r="L152" s="205"/>
      <c r="M152" s="193"/>
    </row>
    <row r="153" spans="1:13" ht="48" customHeight="1" x14ac:dyDescent="0.2">
      <c r="A153" s="163">
        <v>28</v>
      </c>
      <c r="B153" s="164" t="s">
        <v>306</v>
      </c>
      <c r="C153" s="165"/>
      <c r="D153" s="257" t="s">
        <v>107</v>
      </c>
      <c r="E153" s="258"/>
      <c r="F153" s="166"/>
      <c r="G153" s="166"/>
      <c r="H153" s="166"/>
      <c r="I153" s="217" t="s">
        <v>307</v>
      </c>
      <c r="J153" s="168" t="s">
        <v>117</v>
      </c>
      <c r="K153" s="212">
        <f>8000*60%</f>
        <v>4800</v>
      </c>
      <c r="L153" s="170" t="s">
        <v>111</v>
      </c>
      <c r="M153" s="171" t="s">
        <v>308</v>
      </c>
    </row>
    <row r="154" spans="1:13" ht="47.25" customHeight="1" x14ac:dyDescent="0.2">
      <c r="A154" s="173"/>
      <c r="B154" s="174"/>
      <c r="C154" s="175"/>
      <c r="D154" s="262"/>
      <c r="E154" s="263"/>
      <c r="F154" s="176"/>
      <c r="G154" s="176"/>
      <c r="H154" s="176"/>
      <c r="I154" s="184" t="s">
        <v>309</v>
      </c>
      <c r="J154" s="183" t="s">
        <v>117</v>
      </c>
      <c r="K154" s="208">
        <f>8000*20%</f>
        <v>1600</v>
      </c>
      <c r="L154" s="180"/>
      <c r="M154" s="181"/>
    </row>
    <row r="155" spans="1:13" ht="45.75" customHeight="1" x14ac:dyDescent="0.2">
      <c r="A155" s="173"/>
      <c r="B155" s="174"/>
      <c r="C155" s="175"/>
      <c r="D155" s="262"/>
      <c r="E155" s="263"/>
      <c r="F155" s="176"/>
      <c r="G155" s="176"/>
      <c r="H155" s="176"/>
      <c r="I155" s="167" t="s">
        <v>310</v>
      </c>
      <c r="J155" s="183" t="s">
        <v>117</v>
      </c>
      <c r="K155" s="201">
        <f>8000*20%</f>
        <v>1600</v>
      </c>
      <c r="L155" s="180"/>
      <c r="M155" s="181"/>
    </row>
    <row r="156" spans="1:13" ht="60" customHeight="1" x14ac:dyDescent="0.2">
      <c r="A156" s="185"/>
      <c r="B156" s="186"/>
      <c r="C156" s="187"/>
      <c r="D156" s="262"/>
      <c r="E156" s="263"/>
      <c r="F156" s="188"/>
      <c r="G156" s="188"/>
      <c r="H156" s="188"/>
      <c r="I156" s="202"/>
      <c r="J156" s="190"/>
      <c r="K156" s="191">
        <f>SUM(K153:K155)</f>
        <v>8000</v>
      </c>
      <c r="L156" s="192"/>
      <c r="M156" s="193"/>
    </row>
    <row r="157" spans="1:13" ht="23.25" customHeight="1" x14ac:dyDescent="0.2">
      <c r="A157" s="163">
        <v>29</v>
      </c>
      <c r="B157" s="164" t="s">
        <v>311</v>
      </c>
      <c r="C157" s="165"/>
      <c r="D157" s="252" t="s">
        <v>107</v>
      </c>
      <c r="E157" s="166"/>
      <c r="F157" s="166"/>
      <c r="G157" s="166"/>
      <c r="H157" s="166"/>
      <c r="I157" s="217" t="s">
        <v>312</v>
      </c>
      <c r="J157" s="168" t="s">
        <v>110</v>
      </c>
      <c r="K157" s="169">
        <f>8000*70%</f>
        <v>5600</v>
      </c>
      <c r="L157" s="170" t="s">
        <v>111</v>
      </c>
      <c r="M157" s="171" t="s">
        <v>313</v>
      </c>
    </row>
    <row r="158" spans="1:13" ht="23.25" customHeight="1" x14ac:dyDescent="0.2">
      <c r="A158" s="173"/>
      <c r="B158" s="174"/>
      <c r="C158" s="175"/>
      <c r="D158" s="245"/>
      <c r="E158" s="176"/>
      <c r="F158" s="176"/>
      <c r="G158" s="176"/>
      <c r="H158" s="176"/>
      <c r="I158" s="184" t="s">
        <v>314</v>
      </c>
      <c r="J158" s="183" t="s">
        <v>117</v>
      </c>
      <c r="K158" s="179">
        <f>8000*10%</f>
        <v>800</v>
      </c>
      <c r="L158" s="180"/>
      <c r="M158" s="181"/>
    </row>
    <row r="159" spans="1:13" ht="23.25" customHeight="1" x14ac:dyDescent="0.2">
      <c r="A159" s="173"/>
      <c r="B159" s="174"/>
      <c r="C159" s="175"/>
      <c r="D159" s="245"/>
      <c r="E159" s="176"/>
      <c r="F159" s="176"/>
      <c r="G159" s="176"/>
      <c r="H159" s="176"/>
      <c r="I159" s="184" t="s">
        <v>315</v>
      </c>
      <c r="J159" s="178" t="s">
        <v>117</v>
      </c>
      <c r="K159" s="179">
        <f>8000*10%</f>
        <v>800</v>
      </c>
      <c r="L159" s="180"/>
      <c r="M159" s="181"/>
    </row>
    <row r="160" spans="1:13" ht="23.25" customHeight="1" x14ac:dyDescent="0.2">
      <c r="A160" s="173"/>
      <c r="B160" s="174"/>
      <c r="C160" s="175"/>
      <c r="D160" s="245"/>
      <c r="E160" s="176"/>
      <c r="F160" s="176"/>
      <c r="G160" s="176"/>
      <c r="H160" s="176"/>
      <c r="I160" s="184" t="s">
        <v>316</v>
      </c>
      <c r="J160" s="168" t="s">
        <v>117</v>
      </c>
      <c r="K160" s="230">
        <f>8000*10%</f>
        <v>800</v>
      </c>
      <c r="L160" s="180"/>
      <c r="M160" s="181"/>
    </row>
    <row r="161" spans="1:67" ht="23.25" customHeight="1" x14ac:dyDescent="0.2">
      <c r="A161" s="185"/>
      <c r="B161" s="186"/>
      <c r="C161" s="187"/>
      <c r="D161" s="246"/>
      <c r="E161" s="188"/>
      <c r="F161" s="188"/>
      <c r="G161" s="188"/>
      <c r="H161" s="188"/>
      <c r="I161" s="189"/>
      <c r="J161" s="190"/>
      <c r="K161" s="209">
        <f>SUM(K157:K160)</f>
        <v>8000</v>
      </c>
      <c r="L161" s="192"/>
      <c r="M161" s="193"/>
    </row>
    <row r="162" spans="1:67" ht="23.25" customHeight="1" x14ac:dyDescent="0.2">
      <c r="A162" s="163">
        <v>30</v>
      </c>
      <c r="B162" s="164" t="s">
        <v>317</v>
      </c>
      <c r="C162" s="165"/>
      <c r="D162" s="252" t="s">
        <v>107</v>
      </c>
      <c r="E162" s="166"/>
      <c r="F162" s="166"/>
      <c r="G162" s="166"/>
      <c r="H162" s="166"/>
      <c r="I162" s="167" t="s">
        <v>318</v>
      </c>
      <c r="J162" s="168" t="s">
        <v>110</v>
      </c>
      <c r="K162" s="212">
        <f>10000*50%</f>
        <v>5000</v>
      </c>
      <c r="L162" s="170" t="s">
        <v>111</v>
      </c>
      <c r="M162" s="171" t="s">
        <v>319</v>
      </c>
    </row>
    <row r="163" spans="1:67" ht="23.25" customHeight="1" x14ac:dyDescent="0.2">
      <c r="A163" s="173"/>
      <c r="B163" s="174"/>
      <c r="C163" s="175"/>
      <c r="D163" s="245"/>
      <c r="E163" s="176"/>
      <c r="F163" s="176"/>
      <c r="G163" s="176"/>
      <c r="H163" s="176"/>
      <c r="I163" s="184" t="s">
        <v>320</v>
      </c>
      <c r="J163" s="183" t="s">
        <v>117</v>
      </c>
      <c r="K163" s="201">
        <f>10000*40%</f>
        <v>4000</v>
      </c>
      <c r="L163" s="180"/>
      <c r="M163" s="181"/>
    </row>
    <row r="164" spans="1:67" ht="23.25" customHeight="1" x14ac:dyDescent="0.2">
      <c r="A164" s="173"/>
      <c r="B164" s="174"/>
      <c r="C164" s="175"/>
      <c r="D164" s="245"/>
      <c r="E164" s="176"/>
      <c r="F164" s="176"/>
      <c r="G164" s="176"/>
      <c r="H164" s="176"/>
      <c r="I164" s="184" t="s">
        <v>321</v>
      </c>
      <c r="J164" s="178" t="s">
        <v>224</v>
      </c>
      <c r="K164" s="179">
        <f>10000*5%</f>
        <v>500</v>
      </c>
      <c r="L164" s="180"/>
      <c r="M164" s="181"/>
    </row>
    <row r="165" spans="1:67" ht="23.25" customHeight="1" x14ac:dyDescent="0.2">
      <c r="A165" s="173"/>
      <c r="B165" s="174"/>
      <c r="C165" s="175"/>
      <c r="D165" s="245"/>
      <c r="E165" s="176"/>
      <c r="F165" s="176"/>
      <c r="G165" s="176"/>
      <c r="H165" s="176"/>
      <c r="I165" s="167" t="s">
        <v>322</v>
      </c>
      <c r="J165" s="226" t="s">
        <v>117</v>
      </c>
      <c r="K165" s="264">
        <f>10000*5%</f>
        <v>500</v>
      </c>
      <c r="L165" s="180"/>
      <c r="M165" s="181"/>
    </row>
    <row r="166" spans="1:67" ht="23.25" customHeight="1" x14ac:dyDescent="0.2">
      <c r="A166" s="185"/>
      <c r="B166" s="186"/>
      <c r="C166" s="187"/>
      <c r="D166" s="246"/>
      <c r="E166" s="188"/>
      <c r="F166" s="188"/>
      <c r="G166" s="188"/>
      <c r="H166" s="188"/>
      <c r="I166" s="189"/>
      <c r="J166" s="215"/>
      <c r="K166" s="216">
        <f>SUM(K162:K165)</f>
        <v>10000</v>
      </c>
      <c r="L166" s="192"/>
      <c r="M166" s="193"/>
    </row>
    <row r="167" spans="1:67" s="227" customFormat="1" ht="23.25" customHeight="1" x14ac:dyDescent="0.2">
      <c r="A167" s="163">
        <v>31</v>
      </c>
      <c r="B167" s="164" t="s">
        <v>323</v>
      </c>
      <c r="C167" s="165"/>
      <c r="D167" s="252" t="s">
        <v>25</v>
      </c>
      <c r="E167" s="166"/>
      <c r="F167" s="166"/>
      <c r="G167" s="166"/>
      <c r="H167" s="166"/>
      <c r="I167" s="217" t="s">
        <v>324</v>
      </c>
      <c r="J167" s="168" t="s">
        <v>183</v>
      </c>
      <c r="K167" s="212">
        <f>155000*60%</f>
        <v>93000</v>
      </c>
      <c r="L167" s="170" t="s">
        <v>325</v>
      </c>
      <c r="M167" s="171" t="s">
        <v>326</v>
      </c>
      <c r="N167" s="132"/>
      <c r="O167" s="132"/>
      <c r="P167" s="132"/>
      <c r="Q167" s="132"/>
      <c r="R167" s="132"/>
      <c r="S167" s="132"/>
      <c r="T167" s="132"/>
      <c r="U167" s="132"/>
      <c r="V167" s="132"/>
      <c r="W167" s="132"/>
      <c r="X167" s="132"/>
      <c r="Y167" s="132"/>
      <c r="Z167" s="132"/>
      <c r="AA167" s="132"/>
      <c r="AB167" s="132"/>
      <c r="AC167" s="132"/>
      <c r="AD167" s="132"/>
      <c r="AE167" s="132"/>
      <c r="AF167" s="132"/>
      <c r="AG167" s="132"/>
      <c r="AH167" s="132"/>
      <c r="AI167" s="132"/>
      <c r="AJ167" s="132"/>
      <c r="AK167" s="132"/>
      <c r="AL167" s="132"/>
      <c r="AM167" s="132"/>
      <c r="AN167" s="132"/>
      <c r="AO167" s="132"/>
      <c r="AP167" s="132"/>
      <c r="AQ167" s="132"/>
      <c r="AR167" s="132"/>
      <c r="AS167" s="132"/>
      <c r="AT167" s="132"/>
      <c r="AU167" s="132"/>
      <c r="AV167" s="132"/>
      <c r="AW167" s="132"/>
      <c r="AX167" s="132"/>
      <c r="AY167" s="132"/>
      <c r="AZ167" s="132"/>
      <c r="BA167" s="132"/>
      <c r="BB167" s="132"/>
    </row>
    <row r="168" spans="1:67" ht="23.25" customHeight="1" x14ac:dyDescent="0.2">
      <c r="A168" s="173"/>
      <c r="B168" s="174"/>
      <c r="C168" s="175"/>
      <c r="D168" s="245"/>
      <c r="E168" s="176"/>
      <c r="F168" s="176"/>
      <c r="G168" s="176"/>
      <c r="H168" s="176"/>
      <c r="I168" s="184" t="s">
        <v>327</v>
      </c>
      <c r="J168" s="178" t="s">
        <v>117</v>
      </c>
      <c r="K168" s="201">
        <f>155000*10%</f>
        <v>15500</v>
      </c>
      <c r="L168" s="180"/>
      <c r="M168" s="181"/>
    </row>
    <row r="169" spans="1:67" ht="23.25" customHeight="1" x14ac:dyDescent="0.2">
      <c r="A169" s="173"/>
      <c r="B169" s="174"/>
      <c r="C169" s="175"/>
      <c r="D169" s="245"/>
      <c r="E169" s="176"/>
      <c r="F169" s="176"/>
      <c r="G169" s="176"/>
      <c r="H169" s="176"/>
      <c r="I169" s="184" t="s">
        <v>328</v>
      </c>
      <c r="J169" s="178" t="s">
        <v>117</v>
      </c>
      <c r="K169" s="208">
        <f t="shared" ref="K169:K171" si="2">155000*10%</f>
        <v>15500</v>
      </c>
      <c r="L169" s="180"/>
      <c r="M169" s="181"/>
    </row>
    <row r="170" spans="1:67" ht="23.25" customHeight="1" x14ac:dyDescent="0.2">
      <c r="A170" s="173"/>
      <c r="B170" s="174"/>
      <c r="C170" s="175"/>
      <c r="D170" s="245"/>
      <c r="E170" s="176"/>
      <c r="F170" s="176"/>
      <c r="G170" s="176"/>
      <c r="H170" s="176"/>
      <c r="I170" s="167" t="s">
        <v>329</v>
      </c>
      <c r="J170" s="168" t="s">
        <v>117</v>
      </c>
      <c r="K170" s="201">
        <f t="shared" si="2"/>
        <v>15500</v>
      </c>
      <c r="L170" s="180"/>
      <c r="M170" s="181"/>
    </row>
    <row r="171" spans="1:67" ht="23.25" customHeight="1" x14ac:dyDescent="0.2">
      <c r="A171" s="173"/>
      <c r="B171" s="174"/>
      <c r="C171" s="175"/>
      <c r="D171" s="245"/>
      <c r="E171" s="176"/>
      <c r="F171" s="176"/>
      <c r="G171" s="176"/>
      <c r="H171" s="176"/>
      <c r="I171" s="184" t="s">
        <v>330</v>
      </c>
      <c r="J171" s="183" t="s">
        <v>117</v>
      </c>
      <c r="K171" s="179">
        <f t="shared" si="2"/>
        <v>15500</v>
      </c>
      <c r="L171" s="180"/>
      <c r="M171" s="181"/>
    </row>
    <row r="172" spans="1:67" ht="23.25" customHeight="1" x14ac:dyDescent="0.2">
      <c r="A172" s="185"/>
      <c r="B172" s="186"/>
      <c r="C172" s="187"/>
      <c r="D172" s="246"/>
      <c r="E172" s="188"/>
      <c r="F172" s="188"/>
      <c r="G172" s="188"/>
      <c r="H172" s="188"/>
      <c r="I172" s="189"/>
      <c r="J172" s="190"/>
      <c r="K172" s="191">
        <f>SUM(K167:K171)</f>
        <v>155000</v>
      </c>
      <c r="L172" s="192"/>
      <c r="M172" s="193"/>
    </row>
    <row r="173" spans="1:67" s="269" customFormat="1" ht="23.25" customHeight="1" x14ac:dyDescent="0.2">
      <c r="A173" s="163">
        <v>32</v>
      </c>
      <c r="B173" s="265" t="s">
        <v>331</v>
      </c>
      <c r="C173" s="266"/>
      <c r="D173" s="166" t="s">
        <v>107</v>
      </c>
      <c r="E173" s="166"/>
      <c r="F173" s="166"/>
      <c r="G173" s="166"/>
      <c r="H173" s="166" t="s">
        <v>164</v>
      </c>
      <c r="I173" s="217" t="s">
        <v>332</v>
      </c>
      <c r="J173" s="267" t="s">
        <v>117</v>
      </c>
      <c r="K173" s="268">
        <f>63000*60%</f>
        <v>37800</v>
      </c>
      <c r="L173" s="171" t="s">
        <v>111</v>
      </c>
      <c r="M173" s="171" t="s">
        <v>333</v>
      </c>
      <c r="N173" s="132"/>
      <c r="O173" s="132"/>
      <c r="P173" s="132"/>
      <c r="Q173" s="132"/>
      <c r="R173" s="132"/>
      <c r="S173" s="132"/>
      <c r="T173" s="132"/>
      <c r="U173" s="132"/>
      <c r="V173" s="132"/>
      <c r="W173" s="132"/>
      <c r="X173" s="132"/>
      <c r="Y173" s="132"/>
      <c r="Z173" s="132"/>
      <c r="AA173" s="132"/>
      <c r="AB173" s="132"/>
      <c r="AC173" s="132"/>
      <c r="AD173" s="132"/>
      <c r="AE173" s="132"/>
      <c r="AF173" s="132"/>
      <c r="AG173" s="132"/>
      <c r="AH173" s="132"/>
      <c r="AI173" s="132"/>
      <c r="AJ173" s="132"/>
      <c r="AK173" s="132"/>
      <c r="AL173" s="132"/>
      <c r="AM173" s="132"/>
      <c r="AN173" s="132"/>
      <c r="AO173" s="132"/>
      <c r="AP173" s="132"/>
      <c r="AQ173" s="132"/>
      <c r="AR173" s="132"/>
      <c r="AS173" s="132"/>
      <c r="AT173" s="132"/>
      <c r="AU173" s="132"/>
      <c r="AV173" s="132"/>
      <c r="AW173" s="132"/>
      <c r="AX173" s="132"/>
      <c r="AY173" s="132"/>
      <c r="AZ173" s="132"/>
      <c r="BA173" s="132"/>
      <c r="BB173" s="132"/>
      <c r="BC173" s="132"/>
      <c r="BD173" s="132"/>
      <c r="BE173" s="132"/>
      <c r="BF173" s="132"/>
      <c r="BG173" s="132"/>
      <c r="BH173" s="132"/>
      <c r="BI173" s="132"/>
      <c r="BJ173" s="132"/>
      <c r="BK173" s="132"/>
      <c r="BL173" s="132"/>
      <c r="BM173" s="132"/>
      <c r="BN173" s="132"/>
      <c r="BO173" s="132"/>
    </row>
    <row r="174" spans="1:67" s="269" customFormat="1" ht="23.25" customHeight="1" x14ac:dyDescent="0.2">
      <c r="A174" s="173"/>
      <c r="B174" s="270"/>
      <c r="C174" s="271"/>
      <c r="D174" s="176"/>
      <c r="E174" s="176"/>
      <c r="F174" s="176"/>
      <c r="G174" s="176"/>
      <c r="H174" s="176"/>
      <c r="I174" s="184" t="s">
        <v>334</v>
      </c>
      <c r="J174" s="272" t="s">
        <v>117</v>
      </c>
      <c r="K174" s="214">
        <f>63000*40%</f>
        <v>25200</v>
      </c>
      <c r="L174" s="181"/>
      <c r="M174" s="181"/>
      <c r="N174" s="132"/>
      <c r="O174" s="132"/>
      <c r="P174" s="132"/>
      <c r="Q174" s="132"/>
      <c r="R174" s="132"/>
      <c r="S174" s="132"/>
      <c r="T174" s="132"/>
      <c r="U174" s="132"/>
      <c r="V174" s="132"/>
      <c r="W174" s="132"/>
      <c r="X174" s="132"/>
      <c r="Y174" s="132"/>
      <c r="Z174" s="132"/>
      <c r="AA174" s="132"/>
      <c r="AB174" s="132"/>
      <c r="AC174" s="132"/>
      <c r="AD174" s="132"/>
      <c r="AE174" s="132"/>
      <c r="AF174" s="132"/>
      <c r="AG174" s="132"/>
      <c r="AH174" s="132"/>
      <c r="AI174" s="132"/>
      <c r="AJ174" s="132"/>
      <c r="AK174" s="132"/>
      <c r="AL174" s="132"/>
      <c r="AM174" s="132"/>
      <c r="AN174" s="132"/>
      <c r="AO174" s="132"/>
      <c r="AP174" s="132"/>
      <c r="AQ174" s="132"/>
      <c r="AR174" s="132"/>
      <c r="AS174" s="132"/>
      <c r="AT174" s="132"/>
      <c r="AU174" s="132"/>
      <c r="AV174" s="132"/>
      <c r="AW174" s="132"/>
      <c r="AX174" s="132"/>
      <c r="AY174" s="132"/>
      <c r="AZ174" s="132"/>
      <c r="BA174" s="132"/>
      <c r="BB174" s="132"/>
      <c r="BC174" s="132"/>
      <c r="BD174" s="132"/>
      <c r="BE174" s="132"/>
      <c r="BF174" s="132"/>
      <c r="BG174" s="132"/>
      <c r="BH174" s="132"/>
      <c r="BI174" s="132"/>
      <c r="BJ174" s="132"/>
      <c r="BK174" s="132"/>
      <c r="BL174" s="132"/>
      <c r="BM174" s="132"/>
      <c r="BN174" s="132"/>
      <c r="BO174" s="132"/>
    </row>
    <row r="175" spans="1:67" s="269" customFormat="1" ht="23.25" customHeight="1" x14ac:dyDescent="0.2">
      <c r="A175" s="185"/>
      <c r="B175" s="273"/>
      <c r="C175" s="274"/>
      <c r="D175" s="188"/>
      <c r="E175" s="188"/>
      <c r="F175" s="188"/>
      <c r="G175" s="188"/>
      <c r="H175" s="188"/>
      <c r="I175" s="202"/>
      <c r="J175" s="275"/>
      <c r="K175" s="247">
        <f>SUM(K173:K174)</f>
        <v>63000</v>
      </c>
      <c r="L175" s="193"/>
      <c r="M175" s="193"/>
      <c r="N175" s="132"/>
      <c r="O175" s="132"/>
      <c r="P175" s="132"/>
      <c r="Q175" s="132"/>
      <c r="R175" s="132"/>
      <c r="S175" s="132"/>
      <c r="T175" s="132"/>
      <c r="U175" s="132"/>
      <c r="V175" s="132"/>
      <c r="W175" s="132"/>
      <c r="X175" s="132"/>
      <c r="Y175" s="132"/>
      <c r="Z175" s="132"/>
      <c r="AA175" s="132"/>
      <c r="AB175" s="132"/>
      <c r="AC175" s="132"/>
      <c r="AD175" s="132"/>
      <c r="AE175" s="132"/>
      <c r="AF175" s="132"/>
      <c r="AG175" s="132"/>
      <c r="AH175" s="132"/>
      <c r="AI175" s="132"/>
      <c r="AJ175" s="132"/>
      <c r="AK175" s="132"/>
      <c r="AL175" s="132"/>
      <c r="AM175" s="132"/>
      <c r="AN175" s="132"/>
      <c r="AO175" s="132"/>
      <c r="AP175" s="132"/>
      <c r="AQ175" s="132"/>
      <c r="AR175" s="132"/>
      <c r="AS175" s="132"/>
      <c r="AT175" s="132"/>
      <c r="AU175" s="132"/>
      <c r="AV175" s="132"/>
      <c r="AW175" s="132"/>
      <c r="AX175" s="132"/>
      <c r="AY175" s="132"/>
      <c r="AZ175" s="132"/>
      <c r="BA175" s="132"/>
      <c r="BB175" s="132"/>
      <c r="BC175" s="132"/>
      <c r="BD175" s="132"/>
      <c r="BE175" s="132"/>
      <c r="BF175" s="132"/>
      <c r="BG175" s="132"/>
      <c r="BH175" s="132"/>
      <c r="BI175" s="132"/>
      <c r="BJ175" s="132"/>
      <c r="BK175" s="132"/>
      <c r="BL175" s="132"/>
      <c r="BM175" s="132"/>
      <c r="BN175" s="132"/>
      <c r="BO175" s="132"/>
    </row>
    <row r="176" spans="1:67" s="269" customFormat="1" ht="23.25" customHeight="1" x14ac:dyDescent="0.2">
      <c r="A176" s="163">
        <v>33</v>
      </c>
      <c r="B176" s="265" t="s">
        <v>335</v>
      </c>
      <c r="C176" s="266"/>
      <c r="D176" s="166" t="s">
        <v>107</v>
      </c>
      <c r="E176" s="166"/>
      <c r="F176" s="166"/>
      <c r="G176" s="166"/>
      <c r="H176" s="166"/>
      <c r="I176" s="276" t="s">
        <v>336</v>
      </c>
      <c r="J176" s="277" t="s">
        <v>117</v>
      </c>
      <c r="K176" s="278">
        <f>8000*80%</f>
        <v>6400</v>
      </c>
      <c r="L176" s="171" t="s">
        <v>111</v>
      </c>
      <c r="M176" s="171" t="s">
        <v>337</v>
      </c>
      <c r="N176" s="132"/>
      <c r="O176" s="132"/>
      <c r="P176" s="132"/>
      <c r="Q176" s="132"/>
      <c r="R176" s="132"/>
      <c r="S176" s="132"/>
      <c r="T176" s="132"/>
      <c r="U176" s="132"/>
      <c r="V176" s="132"/>
      <c r="W176" s="132"/>
      <c r="X176" s="132"/>
      <c r="Y176" s="132"/>
      <c r="Z176" s="132"/>
      <c r="AA176" s="132"/>
      <c r="AB176" s="132"/>
      <c r="AC176" s="132"/>
      <c r="AD176" s="132"/>
      <c r="AE176" s="132"/>
      <c r="AF176" s="132"/>
      <c r="AG176" s="132"/>
      <c r="AH176" s="132"/>
      <c r="AI176" s="132"/>
      <c r="AJ176" s="132"/>
      <c r="AK176" s="132"/>
      <c r="AL176" s="132"/>
      <c r="AM176" s="132"/>
      <c r="AN176" s="132"/>
      <c r="AO176" s="132"/>
      <c r="AP176" s="132"/>
      <c r="AQ176" s="132"/>
      <c r="AR176" s="132"/>
      <c r="AS176" s="132"/>
      <c r="AT176" s="132"/>
      <c r="AU176" s="132"/>
      <c r="AV176" s="132"/>
      <c r="AW176" s="132"/>
      <c r="AX176" s="132"/>
      <c r="AY176" s="132"/>
      <c r="AZ176" s="132"/>
      <c r="BA176" s="132"/>
      <c r="BB176" s="132"/>
      <c r="BC176" s="132"/>
      <c r="BD176" s="132"/>
      <c r="BE176" s="132"/>
      <c r="BF176" s="132"/>
      <c r="BG176" s="132"/>
      <c r="BH176" s="132"/>
      <c r="BI176" s="132"/>
      <c r="BJ176" s="132"/>
      <c r="BK176" s="132"/>
      <c r="BL176" s="132"/>
      <c r="BM176" s="132"/>
      <c r="BN176" s="132"/>
      <c r="BO176" s="132"/>
    </row>
    <row r="177" spans="1:67" s="269" customFormat="1" ht="23.25" customHeight="1" x14ac:dyDescent="0.2">
      <c r="A177" s="173"/>
      <c r="B177" s="270"/>
      <c r="C177" s="271"/>
      <c r="D177" s="176"/>
      <c r="E177" s="176"/>
      <c r="F177" s="176"/>
      <c r="G177" s="176"/>
      <c r="H177" s="176"/>
      <c r="I177" s="184" t="s">
        <v>338</v>
      </c>
      <c r="J177" s="272" t="s">
        <v>117</v>
      </c>
      <c r="K177" s="214">
        <f>8000*5%</f>
        <v>400</v>
      </c>
      <c r="L177" s="181"/>
      <c r="M177" s="181"/>
      <c r="N177" s="132"/>
      <c r="O177" s="132"/>
      <c r="P177" s="132"/>
      <c r="Q177" s="132"/>
      <c r="R177" s="132"/>
      <c r="S177" s="132"/>
      <c r="T177" s="132"/>
      <c r="U177" s="132"/>
      <c r="V177" s="132"/>
      <c r="W177" s="132"/>
      <c r="X177" s="132"/>
      <c r="Y177" s="132"/>
      <c r="Z177" s="132"/>
      <c r="AA177" s="132"/>
      <c r="AB177" s="132"/>
      <c r="AC177" s="132"/>
      <c r="AD177" s="132"/>
      <c r="AE177" s="132"/>
      <c r="AF177" s="132"/>
      <c r="AG177" s="132"/>
      <c r="AH177" s="132"/>
      <c r="AI177" s="132"/>
      <c r="AJ177" s="132"/>
      <c r="AK177" s="132"/>
      <c r="AL177" s="132"/>
      <c r="AM177" s="132"/>
      <c r="AN177" s="132"/>
      <c r="AO177" s="132"/>
      <c r="AP177" s="132"/>
      <c r="AQ177" s="132"/>
      <c r="AR177" s="132"/>
      <c r="AS177" s="132"/>
      <c r="AT177" s="132"/>
      <c r="AU177" s="132"/>
      <c r="AV177" s="132"/>
      <c r="AW177" s="132"/>
      <c r="AX177" s="132"/>
      <c r="AY177" s="132"/>
      <c r="AZ177" s="132"/>
      <c r="BA177" s="132"/>
      <c r="BB177" s="132"/>
      <c r="BC177" s="132"/>
      <c r="BD177" s="132"/>
      <c r="BE177" s="132"/>
      <c r="BF177" s="132"/>
      <c r="BG177" s="132"/>
      <c r="BH177" s="132"/>
      <c r="BI177" s="132"/>
      <c r="BJ177" s="132"/>
      <c r="BK177" s="132"/>
      <c r="BL177" s="132"/>
      <c r="BM177" s="132"/>
      <c r="BN177" s="132"/>
      <c r="BO177" s="132"/>
    </row>
    <row r="178" spans="1:67" s="269" customFormat="1" ht="23.25" customHeight="1" x14ac:dyDescent="0.2">
      <c r="A178" s="173"/>
      <c r="B178" s="270"/>
      <c r="C178" s="271"/>
      <c r="D178" s="176"/>
      <c r="E178" s="176"/>
      <c r="F178" s="176"/>
      <c r="G178" s="176"/>
      <c r="H178" s="176"/>
      <c r="I178" s="184" t="s">
        <v>339</v>
      </c>
      <c r="J178" s="272" t="s">
        <v>117</v>
      </c>
      <c r="K178" s="214">
        <f t="shared" ref="K178:K180" si="3">8000*5%</f>
        <v>400</v>
      </c>
      <c r="L178" s="181"/>
      <c r="M178" s="181"/>
      <c r="N178" s="132"/>
      <c r="O178" s="132"/>
      <c r="P178" s="132"/>
      <c r="Q178" s="132"/>
      <c r="R178" s="132"/>
      <c r="S178" s="132"/>
      <c r="T178" s="132"/>
      <c r="U178" s="132"/>
      <c r="V178" s="132"/>
      <c r="W178" s="132"/>
      <c r="X178" s="132"/>
      <c r="Y178" s="132"/>
      <c r="Z178" s="132"/>
      <c r="AA178" s="132"/>
      <c r="AB178" s="132"/>
      <c r="AC178" s="132"/>
      <c r="AD178" s="132"/>
      <c r="AE178" s="132"/>
      <c r="AF178" s="132"/>
      <c r="AG178" s="132"/>
      <c r="AH178" s="132"/>
      <c r="AI178" s="132"/>
      <c r="AJ178" s="132"/>
      <c r="AK178" s="132"/>
      <c r="AL178" s="132"/>
      <c r="AM178" s="132"/>
      <c r="AN178" s="132"/>
      <c r="AO178" s="132"/>
      <c r="AP178" s="132"/>
      <c r="AQ178" s="132"/>
      <c r="AR178" s="132"/>
      <c r="AS178" s="132"/>
      <c r="AT178" s="132"/>
      <c r="AU178" s="132"/>
      <c r="AV178" s="132"/>
      <c r="AW178" s="132"/>
      <c r="AX178" s="132"/>
      <c r="AY178" s="132"/>
      <c r="AZ178" s="132"/>
      <c r="BA178" s="132"/>
      <c r="BB178" s="132"/>
      <c r="BC178" s="132"/>
      <c r="BD178" s="132"/>
      <c r="BE178" s="132"/>
      <c r="BF178" s="132"/>
      <c r="BG178" s="132"/>
      <c r="BH178" s="132"/>
      <c r="BI178" s="132"/>
      <c r="BJ178" s="132"/>
      <c r="BK178" s="132"/>
      <c r="BL178" s="132"/>
      <c r="BM178" s="132"/>
      <c r="BN178" s="132"/>
      <c r="BO178" s="132"/>
    </row>
    <row r="179" spans="1:67" s="269" customFormat="1" ht="23.25" customHeight="1" x14ac:dyDescent="0.2">
      <c r="A179" s="173"/>
      <c r="B179" s="270"/>
      <c r="C179" s="271"/>
      <c r="D179" s="176"/>
      <c r="E179" s="176"/>
      <c r="F179" s="176"/>
      <c r="G179" s="176"/>
      <c r="H179" s="176"/>
      <c r="I179" s="184" t="s">
        <v>340</v>
      </c>
      <c r="J179" s="272" t="s">
        <v>117</v>
      </c>
      <c r="K179" s="214">
        <f t="shared" si="3"/>
        <v>400</v>
      </c>
      <c r="L179" s="181"/>
      <c r="M179" s="181"/>
      <c r="N179" s="132"/>
      <c r="O179" s="132"/>
      <c r="P179" s="132"/>
      <c r="Q179" s="132"/>
      <c r="R179" s="132"/>
      <c r="S179" s="132"/>
      <c r="T179" s="132"/>
      <c r="U179" s="132"/>
      <c r="V179" s="132"/>
      <c r="W179" s="132"/>
      <c r="X179" s="132"/>
      <c r="Y179" s="132"/>
      <c r="Z179" s="132"/>
      <c r="AA179" s="132"/>
      <c r="AB179" s="132"/>
      <c r="AC179" s="132"/>
      <c r="AD179" s="132"/>
      <c r="AE179" s="132"/>
      <c r="AF179" s="132"/>
      <c r="AG179" s="132"/>
      <c r="AH179" s="132"/>
      <c r="AI179" s="132"/>
      <c r="AJ179" s="132"/>
      <c r="AK179" s="132"/>
      <c r="AL179" s="132"/>
      <c r="AM179" s="132"/>
      <c r="AN179" s="132"/>
      <c r="AO179" s="132"/>
      <c r="AP179" s="132"/>
      <c r="AQ179" s="132"/>
      <c r="AR179" s="132"/>
      <c r="AS179" s="132"/>
      <c r="AT179" s="132"/>
      <c r="AU179" s="132"/>
      <c r="AV179" s="132"/>
      <c r="AW179" s="132"/>
      <c r="AX179" s="132"/>
      <c r="AY179" s="132"/>
      <c r="AZ179" s="132"/>
      <c r="BA179" s="132"/>
      <c r="BB179" s="132"/>
      <c r="BC179" s="132"/>
      <c r="BD179" s="132"/>
      <c r="BE179" s="132"/>
      <c r="BF179" s="132"/>
      <c r="BG179" s="132"/>
      <c r="BH179" s="132"/>
      <c r="BI179" s="132"/>
      <c r="BJ179" s="132"/>
      <c r="BK179" s="132"/>
      <c r="BL179" s="132"/>
      <c r="BM179" s="132"/>
      <c r="BN179" s="132"/>
      <c r="BO179" s="132"/>
    </row>
    <row r="180" spans="1:67" s="269" customFormat="1" ht="23.25" customHeight="1" x14ac:dyDescent="0.2">
      <c r="A180" s="173"/>
      <c r="B180" s="270"/>
      <c r="C180" s="271"/>
      <c r="D180" s="176"/>
      <c r="E180" s="176"/>
      <c r="F180" s="176"/>
      <c r="G180" s="176"/>
      <c r="H180" s="176"/>
      <c r="I180" s="184" t="s">
        <v>341</v>
      </c>
      <c r="J180" s="272" t="s">
        <v>117</v>
      </c>
      <c r="K180" s="214">
        <f t="shared" si="3"/>
        <v>400</v>
      </c>
      <c r="L180" s="181"/>
      <c r="M180" s="181"/>
      <c r="N180" s="132"/>
      <c r="O180" s="132"/>
      <c r="P180" s="132"/>
      <c r="Q180" s="132"/>
      <c r="R180" s="132"/>
      <c r="S180" s="132"/>
      <c r="T180" s="132"/>
      <c r="U180" s="132"/>
      <c r="V180" s="132"/>
      <c r="W180" s="132"/>
      <c r="X180" s="132"/>
      <c r="Y180" s="132"/>
      <c r="Z180" s="132"/>
      <c r="AA180" s="132"/>
      <c r="AB180" s="132"/>
      <c r="AC180" s="132"/>
      <c r="AD180" s="132"/>
      <c r="AE180" s="132"/>
      <c r="AF180" s="132"/>
      <c r="AG180" s="132"/>
      <c r="AH180" s="132"/>
      <c r="AI180" s="132"/>
      <c r="AJ180" s="132"/>
      <c r="AK180" s="132"/>
      <c r="AL180" s="132"/>
      <c r="AM180" s="132"/>
      <c r="AN180" s="132"/>
      <c r="AO180" s="132"/>
      <c r="AP180" s="132"/>
      <c r="AQ180" s="132"/>
      <c r="AR180" s="132"/>
      <c r="AS180" s="132"/>
      <c r="AT180" s="132"/>
      <c r="AU180" s="132"/>
      <c r="AV180" s="132"/>
      <c r="AW180" s="132"/>
      <c r="AX180" s="132"/>
      <c r="AY180" s="132"/>
      <c r="AZ180" s="132"/>
      <c r="BA180" s="132"/>
      <c r="BB180" s="132"/>
      <c r="BC180" s="132"/>
      <c r="BD180" s="132"/>
      <c r="BE180" s="132"/>
      <c r="BF180" s="132"/>
      <c r="BG180" s="132"/>
      <c r="BH180" s="132"/>
      <c r="BI180" s="132"/>
      <c r="BJ180" s="132"/>
      <c r="BK180" s="132"/>
      <c r="BL180" s="132"/>
      <c r="BM180" s="132"/>
      <c r="BN180" s="132"/>
      <c r="BO180" s="132"/>
    </row>
    <row r="181" spans="1:67" s="269" customFormat="1" ht="23.25" customHeight="1" x14ac:dyDescent="0.2">
      <c r="A181" s="185"/>
      <c r="B181" s="273"/>
      <c r="C181" s="274"/>
      <c r="D181" s="188"/>
      <c r="E181" s="188"/>
      <c r="F181" s="188"/>
      <c r="G181" s="188"/>
      <c r="H181" s="188"/>
      <c r="I181" s="177"/>
      <c r="J181" s="279"/>
      <c r="K181" s="247">
        <f>SUM(K176:K180)</f>
        <v>8000</v>
      </c>
      <c r="L181" s="193"/>
      <c r="M181" s="193"/>
      <c r="N181" s="132"/>
      <c r="O181" s="132"/>
      <c r="P181" s="132"/>
      <c r="Q181" s="132"/>
      <c r="R181" s="132"/>
      <c r="S181" s="132"/>
      <c r="T181" s="132"/>
      <c r="U181" s="132"/>
      <c r="V181" s="132"/>
      <c r="W181" s="132"/>
      <c r="X181" s="132"/>
      <c r="Y181" s="132"/>
      <c r="Z181" s="132"/>
      <c r="AA181" s="132"/>
      <c r="AB181" s="132"/>
      <c r="AC181" s="132"/>
      <c r="AD181" s="132"/>
      <c r="AE181" s="132"/>
      <c r="AF181" s="132"/>
      <c r="AG181" s="132"/>
      <c r="AH181" s="132"/>
      <c r="AI181" s="132"/>
      <c r="AJ181" s="132"/>
      <c r="AK181" s="132"/>
      <c r="AL181" s="132"/>
      <c r="AM181" s="132"/>
      <c r="AN181" s="132"/>
      <c r="AO181" s="132"/>
      <c r="AP181" s="132"/>
      <c r="AQ181" s="132"/>
      <c r="AR181" s="132"/>
      <c r="AS181" s="132"/>
      <c r="AT181" s="132"/>
      <c r="AU181" s="132"/>
      <c r="AV181" s="132"/>
      <c r="AW181" s="132"/>
      <c r="AX181" s="132"/>
      <c r="AY181" s="132"/>
      <c r="AZ181" s="132"/>
      <c r="BA181" s="132"/>
      <c r="BB181" s="132"/>
      <c r="BC181" s="132"/>
      <c r="BD181" s="132"/>
      <c r="BE181" s="132"/>
      <c r="BF181" s="132"/>
      <c r="BG181" s="132"/>
      <c r="BH181" s="132"/>
      <c r="BI181" s="132"/>
      <c r="BJ181" s="132"/>
      <c r="BK181" s="132"/>
      <c r="BL181" s="132"/>
      <c r="BM181" s="132"/>
      <c r="BN181" s="132"/>
      <c r="BO181" s="132"/>
    </row>
    <row r="182" spans="1:67" s="285" customFormat="1" ht="68.25" customHeight="1" x14ac:dyDescent="0.2">
      <c r="A182" s="254">
        <v>34</v>
      </c>
      <c r="B182" s="280" t="s">
        <v>342</v>
      </c>
      <c r="C182" s="281"/>
      <c r="D182" s="258" t="s">
        <v>25</v>
      </c>
      <c r="E182" s="258"/>
      <c r="F182" s="258"/>
      <c r="G182" s="258" t="s">
        <v>343</v>
      </c>
      <c r="H182" s="259"/>
      <c r="I182" s="282" t="s">
        <v>344</v>
      </c>
      <c r="J182" s="283" t="s">
        <v>117</v>
      </c>
      <c r="K182" s="284">
        <v>10000</v>
      </c>
      <c r="L182" s="167" t="s">
        <v>343</v>
      </c>
      <c r="M182" s="189" t="s">
        <v>345</v>
      </c>
      <c r="N182" s="132"/>
      <c r="O182" s="132"/>
      <c r="P182" s="132"/>
      <c r="Q182" s="132"/>
      <c r="R182" s="132"/>
      <c r="S182" s="132"/>
      <c r="T182" s="132"/>
      <c r="U182" s="132"/>
      <c r="V182" s="132"/>
      <c r="W182" s="132"/>
      <c r="X182" s="132"/>
      <c r="Y182" s="132"/>
      <c r="Z182" s="132"/>
      <c r="AA182" s="132"/>
      <c r="AB182" s="132"/>
      <c r="AC182" s="132"/>
      <c r="AD182" s="132"/>
      <c r="AE182" s="132"/>
      <c r="AF182" s="132"/>
      <c r="AG182" s="132"/>
      <c r="AH182" s="132"/>
      <c r="AI182" s="132"/>
      <c r="AJ182" s="132"/>
      <c r="AK182" s="132"/>
      <c r="AL182" s="132"/>
      <c r="AM182" s="132"/>
      <c r="AN182" s="132"/>
      <c r="AO182" s="132"/>
      <c r="AP182" s="132"/>
      <c r="AQ182" s="132"/>
      <c r="AR182" s="132"/>
      <c r="AS182" s="132"/>
      <c r="AT182" s="132"/>
      <c r="AU182" s="132"/>
      <c r="AV182" s="132"/>
      <c r="AW182" s="132"/>
      <c r="AX182" s="132"/>
      <c r="AY182" s="132"/>
      <c r="AZ182" s="132"/>
      <c r="BA182" s="132"/>
      <c r="BB182" s="132"/>
      <c r="BC182" s="132"/>
      <c r="BD182" s="132"/>
      <c r="BE182" s="132"/>
      <c r="BF182" s="132"/>
      <c r="BG182" s="132"/>
      <c r="BH182" s="132"/>
      <c r="BI182" s="132"/>
      <c r="BJ182" s="132"/>
      <c r="BK182" s="132"/>
      <c r="BL182" s="132"/>
      <c r="BM182" s="132"/>
      <c r="BN182" s="132"/>
      <c r="BO182" s="132"/>
    </row>
    <row r="183" spans="1:67" s="285" customFormat="1" ht="28.5" customHeight="1" x14ac:dyDescent="0.2">
      <c r="A183" s="163">
        <v>35</v>
      </c>
      <c r="B183" s="286" t="s">
        <v>346</v>
      </c>
      <c r="C183" s="287"/>
      <c r="D183" s="166" t="s">
        <v>25</v>
      </c>
      <c r="E183" s="166"/>
      <c r="F183" s="166"/>
      <c r="G183" s="166" t="s">
        <v>347</v>
      </c>
      <c r="H183" s="166"/>
      <c r="I183" s="217" t="s">
        <v>348</v>
      </c>
      <c r="J183" s="168" t="s">
        <v>117</v>
      </c>
      <c r="K183" s="268">
        <f>350000*50%</f>
        <v>175000</v>
      </c>
      <c r="L183" s="171" t="s">
        <v>347</v>
      </c>
      <c r="M183" s="171" t="s">
        <v>349</v>
      </c>
      <c r="N183" s="132"/>
      <c r="O183" s="172"/>
      <c r="P183" s="132"/>
      <c r="Q183" s="132"/>
      <c r="R183" s="132"/>
      <c r="S183" s="132"/>
      <c r="T183" s="132"/>
      <c r="U183" s="132"/>
      <c r="V183" s="132"/>
      <c r="W183" s="132"/>
      <c r="X183" s="132"/>
      <c r="Y183" s="132"/>
      <c r="Z183" s="132"/>
      <c r="AA183" s="132"/>
      <c r="AB183" s="132"/>
      <c r="AC183" s="132"/>
      <c r="AD183" s="132"/>
      <c r="AE183" s="132"/>
      <c r="AF183" s="132"/>
      <c r="AG183" s="132"/>
      <c r="AH183" s="132"/>
      <c r="AI183" s="132"/>
      <c r="AJ183" s="132"/>
      <c r="AK183" s="132"/>
      <c r="AL183" s="132"/>
      <c r="AM183" s="132"/>
      <c r="AN183" s="132"/>
      <c r="AO183" s="132"/>
      <c r="AP183" s="132"/>
      <c r="AQ183" s="132"/>
      <c r="AR183" s="132"/>
      <c r="AS183" s="132"/>
      <c r="AT183" s="132"/>
      <c r="AU183" s="132"/>
      <c r="AV183" s="132"/>
      <c r="AW183" s="132"/>
      <c r="AX183" s="132"/>
      <c r="AY183" s="132"/>
      <c r="AZ183" s="132"/>
      <c r="BA183" s="132"/>
      <c r="BB183" s="132"/>
      <c r="BC183" s="132"/>
      <c r="BD183" s="132"/>
      <c r="BE183" s="132"/>
      <c r="BF183" s="132"/>
      <c r="BG183" s="132"/>
      <c r="BH183" s="132"/>
      <c r="BI183" s="132"/>
      <c r="BJ183" s="132"/>
      <c r="BK183" s="132"/>
      <c r="BL183" s="132"/>
      <c r="BM183" s="132"/>
      <c r="BN183" s="132"/>
      <c r="BO183" s="132"/>
    </row>
    <row r="184" spans="1:67" s="285" customFormat="1" ht="37.5" customHeight="1" x14ac:dyDescent="0.2">
      <c r="A184" s="173"/>
      <c r="B184" s="288"/>
      <c r="C184" s="289"/>
      <c r="D184" s="176"/>
      <c r="E184" s="176"/>
      <c r="F184" s="176"/>
      <c r="G184" s="176"/>
      <c r="H184" s="176"/>
      <c r="I184" s="167" t="s">
        <v>350</v>
      </c>
      <c r="J184" s="207" t="s">
        <v>117</v>
      </c>
      <c r="K184" s="214">
        <f>350000*25%</f>
        <v>87500</v>
      </c>
      <c r="L184" s="181"/>
      <c r="M184" s="181"/>
      <c r="N184" s="132"/>
      <c r="O184" s="132"/>
      <c r="P184" s="132"/>
      <c r="Q184" s="132"/>
      <c r="R184" s="132"/>
      <c r="S184" s="132"/>
      <c r="T184" s="132"/>
      <c r="U184" s="132"/>
      <c r="V184" s="132"/>
      <c r="W184" s="132"/>
      <c r="X184" s="132"/>
      <c r="Y184" s="132"/>
      <c r="Z184" s="132"/>
      <c r="AA184" s="132"/>
      <c r="AB184" s="132"/>
      <c r="AC184" s="132"/>
      <c r="AD184" s="132"/>
      <c r="AE184" s="132"/>
      <c r="AF184" s="132"/>
      <c r="AG184" s="132"/>
      <c r="AH184" s="132"/>
      <c r="AI184" s="132"/>
      <c r="AJ184" s="132"/>
      <c r="AK184" s="132"/>
      <c r="AL184" s="132"/>
      <c r="AM184" s="132"/>
      <c r="AN184" s="132"/>
      <c r="AO184" s="132"/>
      <c r="AP184" s="132"/>
      <c r="AQ184" s="132"/>
      <c r="AR184" s="132"/>
      <c r="AS184" s="132"/>
      <c r="AT184" s="132"/>
      <c r="AU184" s="132"/>
      <c r="AV184" s="132"/>
      <c r="AW184" s="132"/>
      <c r="AX184" s="132"/>
      <c r="AY184" s="132"/>
      <c r="AZ184" s="132"/>
      <c r="BA184" s="132"/>
      <c r="BB184" s="132"/>
      <c r="BC184" s="132"/>
      <c r="BD184" s="132"/>
      <c r="BE184" s="132"/>
      <c r="BF184" s="132"/>
      <c r="BG184" s="132"/>
      <c r="BH184" s="132"/>
      <c r="BI184" s="132"/>
      <c r="BJ184" s="132"/>
      <c r="BK184" s="132"/>
      <c r="BL184" s="132"/>
      <c r="BM184" s="132"/>
      <c r="BN184" s="132"/>
      <c r="BO184" s="132"/>
    </row>
    <row r="185" spans="1:67" s="285" customFormat="1" ht="37.5" customHeight="1" x14ac:dyDescent="0.2">
      <c r="A185" s="173"/>
      <c r="B185" s="288"/>
      <c r="C185" s="289"/>
      <c r="D185" s="176"/>
      <c r="E185" s="176"/>
      <c r="F185" s="176"/>
      <c r="G185" s="176"/>
      <c r="H185" s="176"/>
      <c r="I185" s="184" t="s">
        <v>351</v>
      </c>
      <c r="J185" s="168" t="s">
        <v>117</v>
      </c>
      <c r="K185" s="214">
        <f>350000*25%</f>
        <v>87500</v>
      </c>
      <c r="L185" s="181"/>
      <c r="M185" s="181"/>
      <c r="N185" s="132"/>
      <c r="O185" s="132"/>
      <c r="P185" s="132"/>
      <c r="Q185" s="132"/>
      <c r="R185" s="132"/>
      <c r="S185" s="132"/>
      <c r="T185" s="132"/>
      <c r="U185" s="132"/>
      <c r="V185" s="132"/>
      <c r="W185" s="132"/>
      <c r="X185" s="132"/>
      <c r="Y185" s="132"/>
      <c r="Z185" s="132"/>
      <c r="AA185" s="132"/>
      <c r="AB185" s="132"/>
      <c r="AC185" s="132"/>
      <c r="AD185" s="132"/>
      <c r="AE185" s="132"/>
      <c r="AF185" s="132"/>
      <c r="AG185" s="132"/>
      <c r="AH185" s="132"/>
      <c r="AI185" s="132"/>
      <c r="AJ185" s="132"/>
      <c r="AK185" s="132"/>
      <c r="AL185" s="132"/>
      <c r="AM185" s="132"/>
      <c r="AN185" s="132"/>
      <c r="AO185" s="132"/>
      <c r="AP185" s="132"/>
      <c r="AQ185" s="132"/>
      <c r="AR185" s="132"/>
      <c r="AS185" s="132"/>
      <c r="AT185" s="132"/>
      <c r="AU185" s="132"/>
      <c r="AV185" s="132"/>
      <c r="AW185" s="132"/>
      <c r="AX185" s="132"/>
      <c r="AY185" s="132"/>
      <c r="AZ185" s="132"/>
      <c r="BA185" s="132"/>
      <c r="BB185" s="132"/>
      <c r="BC185" s="132"/>
      <c r="BD185" s="132"/>
      <c r="BE185" s="132"/>
      <c r="BF185" s="132"/>
      <c r="BG185" s="132"/>
      <c r="BH185" s="132"/>
      <c r="BI185" s="132"/>
      <c r="BJ185" s="132"/>
      <c r="BK185" s="132"/>
      <c r="BL185" s="132"/>
      <c r="BM185" s="132"/>
      <c r="BN185" s="132"/>
      <c r="BO185" s="132"/>
    </row>
    <row r="186" spans="1:67" s="285" customFormat="1" ht="33.75" customHeight="1" x14ac:dyDescent="0.2">
      <c r="A186" s="185"/>
      <c r="B186" s="290"/>
      <c r="C186" s="291"/>
      <c r="D186" s="188"/>
      <c r="E186" s="188"/>
      <c r="F186" s="188"/>
      <c r="G186" s="188"/>
      <c r="H186" s="188"/>
      <c r="I186" s="189"/>
      <c r="J186" s="203"/>
      <c r="K186" s="292">
        <f>SUM(K183:K185)</f>
        <v>350000</v>
      </c>
      <c r="L186" s="193"/>
      <c r="M186" s="193"/>
      <c r="N186" s="132"/>
      <c r="O186" s="132"/>
      <c r="P186" s="132"/>
      <c r="Q186" s="132"/>
      <c r="R186" s="132"/>
      <c r="S186" s="132"/>
      <c r="T186" s="132"/>
      <c r="U186" s="132"/>
      <c r="V186" s="132"/>
      <c r="W186" s="132"/>
      <c r="X186" s="132"/>
      <c r="Y186" s="132"/>
      <c r="Z186" s="132"/>
      <c r="AA186" s="132"/>
      <c r="AB186" s="132"/>
      <c r="AC186" s="132"/>
      <c r="AD186" s="132"/>
      <c r="AE186" s="132"/>
      <c r="AF186" s="132"/>
      <c r="AG186" s="132"/>
      <c r="AH186" s="132"/>
      <c r="AI186" s="132"/>
      <c r="AJ186" s="132"/>
      <c r="AK186" s="132"/>
      <c r="AL186" s="132"/>
      <c r="AM186" s="132"/>
      <c r="AN186" s="132"/>
      <c r="AO186" s="132"/>
      <c r="AP186" s="132"/>
      <c r="AQ186" s="132"/>
      <c r="AR186" s="132"/>
      <c r="AS186" s="132"/>
      <c r="AT186" s="132"/>
      <c r="AU186" s="132"/>
      <c r="AV186" s="132"/>
      <c r="AW186" s="132"/>
      <c r="AX186" s="132"/>
      <c r="AY186" s="132"/>
      <c r="AZ186" s="132"/>
      <c r="BA186" s="132"/>
      <c r="BB186" s="132"/>
      <c r="BC186" s="132"/>
      <c r="BD186" s="132"/>
      <c r="BE186" s="132"/>
      <c r="BF186" s="132"/>
      <c r="BG186" s="132"/>
      <c r="BH186" s="132"/>
      <c r="BI186" s="132"/>
      <c r="BJ186" s="132"/>
      <c r="BK186" s="132"/>
      <c r="BL186" s="132"/>
      <c r="BM186" s="132"/>
      <c r="BN186" s="132"/>
      <c r="BO186" s="132"/>
    </row>
    <row r="187" spans="1:67" s="269" customFormat="1" ht="33.75" customHeight="1" x14ac:dyDescent="0.2">
      <c r="A187" s="163">
        <v>36</v>
      </c>
      <c r="B187" s="293" t="s">
        <v>352</v>
      </c>
      <c r="C187" s="294"/>
      <c r="D187" s="166" t="s">
        <v>107</v>
      </c>
      <c r="E187" s="166"/>
      <c r="F187" s="166"/>
      <c r="G187" s="166"/>
      <c r="H187" s="166"/>
      <c r="I187" s="276" t="s">
        <v>353</v>
      </c>
      <c r="J187" s="277" t="s">
        <v>117</v>
      </c>
      <c r="K187" s="295">
        <f>8000*50%</f>
        <v>4000</v>
      </c>
      <c r="L187" s="195" t="s">
        <v>111</v>
      </c>
      <c r="M187" s="171" t="s">
        <v>354</v>
      </c>
      <c r="N187" s="132"/>
      <c r="O187" s="132"/>
      <c r="P187" s="132"/>
      <c r="Q187" s="132"/>
      <c r="R187" s="132"/>
      <c r="S187" s="132"/>
      <c r="T187" s="132"/>
      <c r="U187" s="132"/>
      <c r="V187" s="132"/>
      <c r="W187" s="132"/>
      <c r="X187" s="132"/>
      <c r="Y187" s="132"/>
      <c r="Z187" s="132"/>
      <c r="AA187" s="132"/>
      <c r="AB187" s="132"/>
      <c r="AC187" s="132"/>
      <c r="AD187" s="132"/>
      <c r="AE187" s="132"/>
      <c r="AF187" s="132"/>
      <c r="AG187" s="132"/>
      <c r="AH187" s="132"/>
      <c r="AI187" s="132"/>
      <c r="AJ187" s="132"/>
      <c r="AK187" s="132"/>
      <c r="AL187" s="132"/>
      <c r="AM187" s="132"/>
      <c r="AN187" s="132"/>
      <c r="AO187" s="132"/>
      <c r="AP187" s="132"/>
      <c r="AQ187" s="132"/>
      <c r="AR187" s="132"/>
      <c r="AS187" s="132"/>
      <c r="AT187" s="132"/>
      <c r="AU187" s="132"/>
      <c r="AV187" s="132"/>
      <c r="AW187" s="132"/>
      <c r="AX187" s="132"/>
      <c r="AY187" s="132"/>
      <c r="AZ187" s="132"/>
      <c r="BA187" s="132"/>
      <c r="BB187" s="132"/>
    </row>
    <row r="188" spans="1:67" s="269" customFormat="1" ht="33.75" customHeight="1" x14ac:dyDescent="0.2">
      <c r="A188" s="173"/>
      <c r="B188" s="288"/>
      <c r="C188" s="289"/>
      <c r="D188" s="176"/>
      <c r="E188" s="176"/>
      <c r="F188" s="176"/>
      <c r="G188" s="176"/>
      <c r="H188" s="176"/>
      <c r="I188" s="184" t="s">
        <v>355</v>
      </c>
      <c r="J188" s="272" t="s">
        <v>117</v>
      </c>
      <c r="K188" s="296">
        <f>8000*10%</f>
        <v>800</v>
      </c>
      <c r="L188" s="197"/>
      <c r="M188" s="181"/>
      <c r="N188" s="132"/>
      <c r="O188" s="132"/>
      <c r="P188" s="297"/>
      <c r="Q188" s="132"/>
      <c r="R188" s="132"/>
      <c r="S188" s="132"/>
      <c r="T188" s="132"/>
      <c r="U188" s="132"/>
      <c r="V188" s="132"/>
      <c r="W188" s="132"/>
      <c r="X188" s="132"/>
      <c r="Y188" s="132"/>
      <c r="Z188" s="132"/>
      <c r="AA188" s="132"/>
      <c r="AB188" s="132"/>
      <c r="AC188" s="132"/>
      <c r="AD188" s="132"/>
      <c r="AE188" s="132"/>
      <c r="AF188" s="132"/>
      <c r="AG188" s="132"/>
      <c r="AH188" s="132"/>
      <c r="AI188" s="132"/>
      <c r="AJ188" s="132"/>
      <c r="AK188" s="132"/>
      <c r="AL188" s="132"/>
      <c r="AM188" s="132"/>
      <c r="AN188" s="132"/>
      <c r="AO188" s="132"/>
      <c r="AP188" s="132"/>
      <c r="AQ188" s="132"/>
      <c r="AR188" s="132"/>
      <c r="AS188" s="132"/>
      <c r="AT188" s="132"/>
      <c r="AU188" s="132"/>
      <c r="AV188" s="132"/>
      <c r="AW188" s="132"/>
      <c r="AX188" s="132"/>
      <c r="AY188" s="132"/>
      <c r="AZ188" s="132"/>
      <c r="BA188" s="132"/>
      <c r="BB188" s="132"/>
    </row>
    <row r="189" spans="1:67" s="269" customFormat="1" ht="33.75" customHeight="1" x14ac:dyDescent="0.2">
      <c r="A189" s="173"/>
      <c r="B189" s="288"/>
      <c r="C189" s="289"/>
      <c r="D189" s="176"/>
      <c r="E189" s="176"/>
      <c r="F189" s="176"/>
      <c r="G189" s="176"/>
      <c r="H189" s="176"/>
      <c r="I189" s="184" t="s">
        <v>356</v>
      </c>
      <c r="J189" s="272" t="s">
        <v>117</v>
      </c>
      <c r="K189" s="296">
        <f t="shared" ref="K189:K192" si="4">8000*10%</f>
        <v>800</v>
      </c>
      <c r="L189" s="197"/>
      <c r="M189" s="181"/>
      <c r="N189" s="132"/>
      <c r="O189" s="132"/>
      <c r="P189" s="132"/>
      <c r="Q189" s="132"/>
      <c r="R189" s="132"/>
      <c r="S189" s="132"/>
      <c r="T189" s="132"/>
      <c r="U189" s="132"/>
      <c r="V189" s="132"/>
      <c r="W189" s="132"/>
      <c r="X189" s="132"/>
      <c r="Y189" s="132"/>
      <c r="Z189" s="132"/>
      <c r="AA189" s="132"/>
      <c r="AB189" s="132"/>
      <c r="AC189" s="132"/>
      <c r="AD189" s="132"/>
      <c r="AE189" s="132"/>
      <c r="AF189" s="132"/>
      <c r="AG189" s="132"/>
      <c r="AH189" s="132"/>
      <c r="AI189" s="132"/>
      <c r="AJ189" s="132"/>
      <c r="AK189" s="132"/>
      <c r="AL189" s="132"/>
      <c r="AM189" s="132"/>
      <c r="AN189" s="132"/>
      <c r="AO189" s="132"/>
      <c r="AP189" s="132"/>
      <c r="AQ189" s="132"/>
      <c r="AR189" s="132"/>
      <c r="AS189" s="132"/>
      <c r="AT189" s="132"/>
      <c r="AU189" s="132"/>
      <c r="AV189" s="132"/>
      <c r="AW189" s="132"/>
      <c r="AX189" s="132"/>
      <c r="AY189" s="132"/>
      <c r="AZ189" s="132"/>
      <c r="BA189" s="132"/>
      <c r="BB189" s="132"/>
    </row>
    <row r="190" spans="1:67" s="269" customFormat="1" ht="33.75" customHeight="1" x14ac:dyDescent="0.2">
      <c r="A190" s="173"/>
      <c r="B190" s="288"/>
      <c r="C190" s="289"/>
      <c r="D190" s="176"/>
      <c r="E190" s="176"/>
      <c r="F190" s="176"/>
      <c r="G190" s="176"/>
      <c r="H190" s="176"/>
      <c r="I190" s="184" t="s">
        <v>357</v>
      </c>
      <c r="J190" s="272" t="s">
        <v>117</v>
      </c>
      <c r="K190" s="296">
        <f t="shared" si="4"/>
        <v>800</v>
      </c>
      <c r="L190" s="197"/>
      <c r="M190" s="181"/>
      <c r="N190" s="132"/>
      <c r="O190" s="132"/>
      <c r="P190" s="132"/>
      <c r="Q190" s="132"/>
      <c r="R190" s="132"/>
      <c r="S190" s="132"/>
      <c r="T190" s="132"/>
      <c r="U190" s="132"/>
      <c r="V190" s="132"/>
      <c r="W190" s="132"/>
      <c r="X190" s="132"/>
      <c r="Y190" s="132"/>
      <c r="Z190" s="132"/>
      <c r="AA190" s="132"/>
      <c r="AB190" s="132"/>
      <c r="AC190" s="132"/>
      <c r="AD190" s="132"/>
      <c r="AE190" s="132"/>
      <c r="AF190" s="132"/>
      <c r="AG190" s="132"/>
      <c r="AH190" s="132"/>
      <c r="AI190" s="132"/>
      <c r="AJ190" s="132"/>
      <c r="AK190" s="132"/>
      <c r="AL190" s="132"/>
      <c r="AM190" s="132"/>
      <c r="AN190" s="132"/>
      <c r="AO190" s="132"/>
      <c r="AP190" s="132"/>
      <c r="AQ190" s="132"/>
      <c r="AR190" s="132"/>
      <c r="AS190" s="132"/>
      <c r="AT190" s="132"/>
      <c r="AU190" s="132"/>
      <c r="AV190" s="132"/>
      <c r="AW190" s="132"/>
      <c r="AX190" s="132"/>
      <c r="AY190" s="132"/>
      <c r="AZ190" s="132"/>
      <c r="BA190" s="132"/>
      <c r="BB190" s="132"/>
    </row>
    <row r="191" spans="1:67" s="269" customFormat="1" ht="33.75" customHeight="1" x14ac:dyDescent="0.2">
      <c r="A191" s="173"/>
      <c r="B191" s="288"/>
      <c r="C191" s="289"/>
      <c r="D191" s="176"/>
      <c r="E191" s="176"/>
      <c r="F191" s="176"/>
      <c r="G191" s="176"/>
      <c r="H191" s="176"/>
      <c r="I191" s="184" t="s">
        <v>358</v>
      </c>
      <c r="J191" s="277" t="s">
        <v>117</v>
      </c>
      <c r="K191" s="296">
        <f t="shared" si="4"/>
        <v>800</v>
      </c>
      <c r="L191" s="197"/>
      <c r="M191" s="181"/>
      <c r="N191" s="132"/>
      <c r="O191" s="132"/>
      <c r="P191" s="132"/>
      <c r="Q191" s="132"/>
      <c r="R191" s="132"/>
      <c r="S191" s="132"/>
      <c r="T191" s="132"/>
      <c r="U191" s="132"/>
      <c r="V191" s="132"/>
      <c r="W191" s="132"/>
      <c r="X191" s="132"/>
      <c r="Y191" s="132"/>
      <c r="Z191" s="132"/>
      <c r="AA191" s="132"/>
      <c r="AB191" s="132"/>
      <c r="AC191" s="132"/>
      <c r="AD191" s="132"/>
      <c r="AE191" s="132"/>
      <c r="AF191" s="132"/>
      <c r="AG191" s="132"/>
      <c r="AH191" s="132"/>
      <c r="AI191" s="132"/>
      <c r="AJ191" s="132"/>
      <c r="AK191" s="132"/>
      <c r="AL191" s="132"/>
      <c r="AM191" s="132"/>
      <c r="AN191" s="132"/>
      <c r="AO191" s="132"/>
      <c r="AP191" s="132"/>
      <c r="AQ191" s="132"/>
      <c r="AR191" s="132"/>
      <c r="AS191" s="132"/>
      <c r="AT191" s="132"/>
      <c r="AU191" s="132"/>
      <c r="AV191" s="132"/>
      <c r="AW191" s="132"/>
      <c r="AX191" s="132"/>
      <c r="AY191" s="132"/>
      <c r="AZ191" s="132"/>
      <c r="BA191" s="132"/>
      <c r="BB191" s="132"/>
    </row>
    <row r="192" spans="1:67" s="269" customFormat="1" ht="33.75" customHeight="1" x14ac:dyDescent="0.2">
      <c r="A192" s="173"/>
      <c r="B192" s="288"/>
      <c r="C192" s="289"/>
      <c r="D192" s="176"/>
      <c r="E192" s="176"/>
      <c r="F192" s="176"/>
      <c r="G192" s="176"/>
      <c r="H192" s="176"/>
      <c r="I192" s="184" t="s">
        <v>359</v>
      </c>
      <c r="J192" s="272" t="s">
        <v>117</v>
      </c>
      <c r="K192" s="296">
        <f t="shared" si="4"/>
        <v>800</v>
      </c>
      <c r="L192" s="197"/>
      <c r="M192" s="181"/>
      <c r="N192" s="132"/>
      <c r="O192" s="132"/>
      <c r="P192" s="132"/>
      <c r="Q192" s="132"/>
      <c r="R192" s="132"/>
      <c r="S192" s="132"/>
      <c r="T192" s="132"/>
      <c r="U192" s="132"/>
      <c r="V192" s="132"/>
      <c r="W192" s="132"/>
      <c r="X192" s="132"/>
      <c r="Y192" s="132"/>
      <c r="Z192" s="132"/>
      <c r="AA192" s="132"/>
      <c r="AB192" s="132"/>
      <c r="AC192" s="132"/>
      <c r="AD192" s="132"/>
      <c r="AE192" s="132"/>
      <c r="AF192" s="132"/>
      <c r="AG192" s="132"/>
      <c r="AH192" s="132"/>
      <c r="AI192" s="132"/>
      <c r="AJ192" s="132"/>
      <c r="AK192" s="132"/>
      <c r="AL192" s="132"/>
      <c r="AM192" s="132"/>
      <c r="AN192" s="132"/>
      <c r="AO192" s="132"/>
      <c r="AP192" s="132"/>
      <c r="AQ192" s="132"/>
      <c r="AR192" s="132"/>
      <c r="AS192" s="132"/>
      <c r="AT192" s="132"/>
      <c r="AU192" s="132"/>
      <c r="AV192" s="132"/>
      <c r="AW192" s="132"/>
      <c r="AX192" s="132"/>
      <c r="AY192" s="132"/>
      <c r="AZ192" s="132"/>
      <c r="BA192" s="132"/>
      <c r="BB192" s="132"/>
    </row>
    <row r="193" spans="1:54" s="269" customFormat="1" ht="33.75" customHeight="1" x14ac:dyDescent="0.2">
      <c r="A193" s="185"/>
      <c r="B193" s="298"/>
      <c r="C193" s="299"/>
      <c r="D193" s="188"/>
      <c r="E193" s="188"/>
      <c r="F193" s="188"/>
      <c r="G193" s="188"/>
      <c r="H193" s="188"/>
      <c r="I193" s="202"/>
      <c r="J193" s="300"/>
      <c r="K193" s="301">
        <f>SUM(K187:K192)</f>
        <v>8000</v>
      </c>
      <c r="L193" s="205"/>
      <c r="M193" s="193"/>
      <c r="N193" s="132"/>
      <c r="O193" s="132"/>
      <c r="P193" s="132"/>
      <c r="Q193" s="132"/>
      <c r="R193" s="132"/>
      <c r="S193" s="132"/>
      <c r="T193" s="132"/>
      <c r="U193" s="132"/>
      <c r="V193" s="132"/>
      <c r="W193" s="132"/>
      <c r="X193" s="132"/>
      <c r="Y193" s="132"/>
      <c r="Z193" s="132"/>
      <c r="AA193" s="132"/>
      <c r="AB193" s="132"/>
      <c r="AC193" s="132"/>
      <c r="AD193" s="132"/>
      <c r="AE193" s="132"/>
      <c r="AF193" s="132"/>
      <c r="AG193" s="132"/>
      <c r="AH193" s="132"/>
      <c r="AI193" s="132"/>
      <c r="AJ193" s="132"/>
      <c r="AK193" s="132"/>
      <c r="AL193" s="132"/>
      <c r="AM193" s="132"/>
      <c r="AN193" s="132"/>
      <c r="AO193" s="132"/>
      <c r="AP193" s="132"/>
      <c r="AQ193" s="132"/>
      <c r="AR193" s="132"/>
      <c r="AS193" s="132"/>
      <c r="AT193" s="132"/>
      <c r="AU193" s="132"/>
      <c r="AV193" s="132"/>
      <c r="AW193" s="132"/>
      <c r="AX193" s="132"/>
      <c r="AY193" s="132"/>
      <c r="AZ193" s="132"/>
      <c r="BA193" s="132"/>
      <c r="BB193" s="132"/>
    </row>
    <row r="194" spans="1:54" ht="53.25" customHeight="1" x14ac:dyDescent="0.2">
      <c r="A194" s="232">
        <v>37</v>
      </c>
      <c r="B194" s="255" t="s">
        <v>360</v>
      </c>
      <c r="C194" s="256" t="s">
        <v>360</v>
      </c>
      <c r="D194" s="258" t="s">
        <v>107</v>
      </c>
      <c r="E194" s="258"/>
      <c r="F194" s="258"/>
      <c r="G194" s="258"/>
      <c r="H194" s="259"/>
      <c r="I194" s="189" t="s">
        <v>361</v>
      </c>
      <c r="J194" s="302" t="s">
        <v>362</v>
      </c>
      <c r="K194" s="303">
        <v>4900</v>
      </c>
      <c r="L194" s="261" t="s">
        <v>111</v>
      </c>
      <c r="M194" s="189" t="s">
        <v>363</v>
      </c>
      <c r="N194" s="172"/>
    </row>
    <row r="195" spans="1:54" ht="49.5" customHeight="1" x14ac:dyDescent="0.2">
      <c r="A195" s="232">
        <v>38</v>
      </c>
      <c r="B195" s="255" t="s">
        <v>364</v>
      </c>
      <c r="C195" s="256" t="s">
        <v>364</v>
      </c>
      <c r="D195" s="258" t="s">
        <v>107</v>
      </c>
      <c r="E195" s="258"/>
      <c r="F195" s="258"/>
      <c r="G195" s="258"/>
      <c r="H195" s="259"/>
      <c r="I195" s="189" t="s">
        <v>365</v>
      </c>
      <c r="J195" s="215" t="s">
        <v>362</v>
      </c>
      <c r="K195" s="260">
        <v>10000</v>
      </c>
      <c r="L195" s="261" t="s">
        <v>111</v>
      </c>
      <c r="M195" s="189" t="s">
        <v>366</v>
      </c>
      <c r="N195" s="172"/>
    </row>
    <row r="196" spans="1:54" ht="23.25" customHeight="1" x14ac:dyDescent="0.2">
      <c r="A196" s="163">
        <v>39</v>
      </c>
      <c r="B196" s="164" t="s">
        <v>367</v>
      </c>
      <c r="C196" s="165"/>
      <c r="D196" s="166" t="s">
        <v>107</v>
      </c>
      <c r="E196" s="166"/>
      <c r="F196" s="166"/>
      <c r="G196" s="166"/>
      <c r="H196" s="166" t="s">
        <v>164</v>
      </c>
      <c r="I196" s="217" t="s">
        <v>368</v>
      </c>
      <c r="J196" s="168" t="s">
        <v>369</v>
      </c>
      <c r="K196" s="169">
        <f>4700*80%</f>
        <v>3760</v>
      </c>
      <c r="L196" s="170" t="s">
        <v>111</v>
      </c>
      <c r="M196" s="171" t="s">
        <v>370</v>
      </c>
    </row>
    <row r="197" spans="1:54" ht="23.25" customHeight="1" x14ac:dyDescent="0.2">
      <c r="A197" s="173"/>
      <c r="B197" s="174"/>
      <c r="C197" s="175"/>
      <c r="D197" s="176"/>
      <c r="E197" s="176"/>
      <c r="F197" s="176"/>
      <c r="G197" s="176"/>
      <c r="H197" s="176"/>
      <c r="I197" s="184" t="s">
        <v>371</v>
      </c>
      <c r="J197" s="183" t="s">
        <v>362</v>
      </c>
      <c r="K197" s="179">
        <f>4700*20%</f>
        <v>940</v>
      </c>
      <c r="L197" s="180"/>
      <c r="M197" s="181"/>
    </row>
    <row r="198" spans="1:54" ht="23.25" customHeight="1" x14ac:dyDescent="0.2">
      <c r="A198" s="185"/>
      <c r="B198" s="186"/>
      <c r="C198" s="187"/>
      <c r="D198" s="188"/>
      <c r="E198" s="188"/>
      <c r="F198" s="188"/>
      <c r="G198" s="188"/>
      <c r="H198" s="188"/>
      <c r="I198" s="189"/>
      <c r="J198" s="190"/>
      <c r="K198" s="191">
        <f>SUM(K196:K197)</f>
        <v>4700</v>
      </c>
      <c r="L198" s="192"/>
      <c r="M198" s="193"/>
    </row>
    <row r="199" spans="1:54" ht="23.25" customHeight="1" x14ac:dyDescent="0.2">
      <c r="A199" s="163">
        <v>40</v>
      </c>
      <c r="B199" s="164" t="s">
        <v>372</v>
      </c>
      <c r="C199" s="165"/>
      <c r="D199" s="166" t="s">
        <v>107</v>
      </c>
      <c r="E199" s="166"/>
      <c r="F199" s="166"/>
      <c r="G199" s="166"/>
      <c r="H199" s="166" t="s">
        <v>164</v>
      </c>
      <c r="I199" s="217" t="s">
        <v>373</v>
      </c>
      <c r="J199" s="168" t="s">
        <v>369</v>
      </c>
      <c r="K199" s="169">
        <f>4700*80%</f>
        <v>3760</v>
      </c>
      <c r="L199" s="195" t="s">
        <v>111</v>
      </c>
      <c r="M199" s="171" t="s">
        <v>374</v>
      </c>
    </row>
    <row r="200" spans="1:54" ht="23.25" customHeight="1" x14ac:dyDescent="0.2">
      <c r="A200" s="173"/>
      <c r="B200" s="174"/>
      <c r="C200" s="175"/>
      <c r="D200" s="176"/>
      <c r="E200" s="176"/>
      <c r="F200" s="176"/>
      <c r="G200" s="176"/>
      <c r="H200" s="176"/>
      <c r="I200" s="167" t="s">
        <v>375</v>
      </c>
      <c r="J200" s="183" t="s">
        <v>117</v>
      </c>
      <c r="K200" s="198">
        <f>4700*20%</f>
        <v>940</v>
      </c>
      <c r="L200" s="197"/>
      <c r="M200" s="181"/>
    </row>
    <row r="201" spans="1:54" ht="23.25" customHeight="1" x14ac:dyDescent="0.2">
      <c r="A201" s="185"/>
      <c r="B201" s="186"/>
      <c r="C201" s="187"/>
      <c r="D201" s="188"/>
      <c r="E201" s="188"/>
      <c r="F201" s="188"/>
      <c r="G201" s="188"/>
      <c r="H201" s="188"/>
      <c r="I201" s="202"/>
      <c r="J201" s="190"/>
      <c r="K201" s="211">
        <f>K199+K200</f>
        <v>4700</v>
      </c>
      <c r="L201" s="205"/>
      <c r="M201" s="193"/>
    </row>
    <row r="202" spans="1:54" ht="71.25" customHeight="1" x14ac:dyDescent="0.2">
      <c r="A202" s="232">
        <v>41</v>
      </c>
      <c r="B202" s="255" t="s">
        <v>376</v>
      </c>
      <c r="C202" s="256" t="s">
        <v>376</v>
      </c>
      <c r="D202" s="258" t="s">
        <v>107</v>
      </c>
      <c r="E202" s="258"/>
      <c r="F202" s="258"/>
      <c r="G202" s="258"/>
      <c r="H202" s="259"/>
      <c r="I202" s="189" t="s">
        <v>377</v>
      </c>
      <c r="J202" s="215" t="s">
        <v>362</v>
      </c>
      <c r="K202" s="260">
        <v>4700</v>
      </c>
      <c r="L202" s="261" t="s">
        <v>111</v>
      </c>
      <c r="M202" s="189" t="s">
        <v>378</v>
      </c>
    </row>
    <row r="203" spans="1:54" ht="72" customHeight="1" x14ac:dyDescent="0.2">
      <c r="A203" s="232">
        <v>42</v>
      </c>
      <c r="B203" s="255" t="s">
        <v>379</v>
      </c>
      <c r="C203" s="256" t="s">
        <v>379</v>
      </c>
      <c r="D203" s="258" t="s">
        <v>107</v>
      </c>
      <c r="E203" s="258"/>
      <c r="F203" s="258"/>
      <c r="G203" s="258"/>
      <c r="H203" s="259"/>
      <c r="I203" s="189" t="s">
        <v>380</v>
      </c>
      <c r="J203" s="215" t="s">
        <v>362</v>
      </c>
      <c r="K203" s="260">
        <v>5000</v>
      </c>
      <c r="L203" s="261" t="s">
        <v>111</v>
      </c>
      <c r="M203" s="189" t="s">
        <v>381</v>
      </c>
    </row>
    <row r="204" spans="1:54" ht="23.25" customHeight="1" x14ac:dyDescent="0.2">
      <c r="A204" s="163">
        <v>43</v>
      </c>
      <c r="B204" s="164" t="s">
        <v>382</v>
      </c>
      <c r="C204" s="165"/>
      <c r="D204" s="166" t="s">
        <v>107</v>
      </c>
      <c r="E204" s="166"/>
      <c r="F204" s="166"/>
      <c r="G204" s="166"/>
      <c r="H204" s="166"/>
      <c r="I204" s="167" t="s">
        <v>383</v>
      </c>
      <c r="J204" s="194" t="s">
        <v>369</v>
      </c>
      <c r="K204" s="213">
        <f>10000*60%</f>
        <v>6000</v>
      </c>
      <c r="L204" s="195" t="s">
        <v>111</v>
      </c>
      <c r="M204" s="171" t="s">
        <v>384</v>
      </c>
    </row>
    <row r="205" spans="1:54" ht="23.25" customHeight="1" x14ac:dyDescent="0.2">
      <c r="A205" s="173"/>
      <c r="B205" s="174"/>
      <c r="C205" s="175"/>
      <c r="D205" s="176"/>
      <c r="E205" s="176"/>
      <c r="F205" s="176"/>
      <c r="G205" s="176"/>
      <c r="H205" s="176"/>
      <c r="I205" s="177" t="s">
        <v>385</v>
      </c>
      <c r="J205" s="168" t="s">
        <v>369</v>
      </c>
      <c r="K205" s="201">
        <f>10000*10%</f>
        <v>1000</v>
      </c>
      <c r="L205" s="197"/>
      <c r="M205" s="181"/>
    </row>
    <row r="206" spans="1:54" ht="23.25" customHeight="1" x14ac:dyDescent="0.2">
      <c r="A206" s="173"/>
      <c r="B206" s="174"/>
      <c r="C206" s="175"/>
      <c r="D206" s="176"/>
      <c r="E206" s="176"/>
      <c r="F206" s="176"/>
      <c r="G206" s="176"/>
      <c r="H206" s="176"/>
      <c r="I206" s="184" t="s">
        <v>386</v>
      </c>
      <c r="J206" s="183" t="s">
        <v>369</v>
      </c>
      <c r="K206" s="198">
        <f>10000*10%</f>
        <v>1000</v>
      </c>
      <c r="L206" s="197"/>
      <c r="M206" s="181"/>
    </row>
    <row r="207" spans="1:54" ht="23.25" customHeight="1" x14ac:dyDescent="0.2">
      <c r="A207" s="173"/>
      <c r="B207" s="174"/>
      <c r="C207" s="175"/>
      <c r="D207" s="176"/>
      <c r="E207" s="176"/>
      <c r="F207" s="176"/>
      <c r="G207" s="176"/>
      <c r="H207" s="176"/>
      <c r="I207" s="167" t="s">
        <v>387</v>
      </c>
      <c r="J207" s="183" t="s">
        <v>369</v>
      </c>
      <c r="K207" s="198">
        <f>10000*10%</f>
        <v>1000</v>
      </c>
      <c r="L207" s="197"/>
      <c r="M207" s="181"/>
    </row>
    <row r="208" spans="1:54" ht="23.25" customHeight="1" x14ac:dyDescent="0.2">
      <c r="A208" s="173"/>
      <c r="B208" s="174"/>
      <c r="C208" s="175"/>
      <c r="D208" s="176"/>
      <c r="E208" s="176"/>
      <c r="F208" s="176"/>
      <c r="G208" s="176"/>
      <c r="H208" s="176"/>
      <c r="I208" s="184" t="s">
        <v>388</v>
      </c>
      <c r="J208" s="183" t="s">
        <v>369</v>
      </c>
      <c r="K208" s="200">
        <f>10000*10%</f>
        <v>1000</v>
      </c>
      <c r="L208" s="197"/>
      <c r="M208" s="181"/>
    </row>
    <row r="209" spans="1:14" ht="23.25" customHeight="1" x14ac:dyDescent="0.2">
      <c r="A209" s="185"/>
      <c r="B209" s="186"/>
      <c r="C209" s="187"/>
      <c r="D209" s="188"/>
      <c r="E209" s="188"/>
      <c r="F209" s="188"/>
      <c r="G209" s="188"/>
      <c r="H209" s="188"/>
      <c r="I209" s="189"/>
      <c r="J209" s="190"/>
      <c r="K209" s="209">
        <f>SUM(K204:K208)</f>
        <v>10000</v>
      </c>
      <c r="L209" s="205"/>
      <c r="M209" s="193"/>
    </row>
    <row r="210" spans="1:14" ht="23.25" customHeight="1" x14ac:dyDescent="0.2">
      <c r="A210" s="163">
        <v>44</v>
      </c>
      <c r="B210" s="164" t="s">
        <v>389</v>
      </c>
      <c r="C210" s="165"/>
      <c r="D210" s="166" t="s">
        <v>107</v>
      </c>
      <c r="E210" s="166"/>
      <c r="F210" s="166"/>
      <c r="G210" s="166"/>
      <c r="H210" s="166" t="s">
        <v>137</v>
      </c>
      <c r="I210" s="167" t="s">
        <v>390</v>
      </c>
      <c r="J210" s="168" t="s">
        <v>369</v>
      </c>
      <c r="K210" s="169">
        <f>11000*60%</f>
        <v>6600</v>
      </c>
      <c r="L210" s="195" t="s">
        <v>111</v>
      </c>
      <c r="M210" s="171" t="s">
        <v>391</v>
      </c>
    </row>
    <row r="211" spans="1:14" ht="23.25" customHeight="1" x14ac:dyDescent="0.2">
      <c r="A211" s="173"/>
      <c r="B211" s="174"/>
      <c r="C211" s="175"/>
      <c r="D211" s="176"/>
      <c r="E211" s="176"/>
      <c r="F211" s="176"/>
      <c r="G211" s="176"/>
      <c r="H211" s="176"/>
      <c r="I211" s="177" t="s">
        <v>392</v>
      </c>
      <c r="J211" s="183" t="s">
        <v>369</v>
      </c>
      <c r="K211" s="198">
        <f>11000*20%</f>
        <v>2200</v>
      </c>
      <c r="L211" s="197"/>
      <c r="M211" s="181"/>
    </row>
    <row r="212" spans="1:14" ht="23.25" customHeight="1" x14ac:dyDescent="0.2">
      <c r="A212" s="173"/>
      <c r="B212" s="174"/>
      <c r="C212" s="175"/>
      <c r="D212" s="176"/>
      <c r="E212" s="176"/>
      <c r="F212" s="176"/>
      <c r="G212" s="176"/>
      <c r="H212" s="176"/>
      <c r="I212" s="177" t="s">
        <v>393</v>
      </c>
      <c r="J212" s="178" t="s">
        <v>369</v>
      </c>
      <c r="K212" s="198">
        <f>11000*20%</f>
        <v>2200</v>
      </c>
      <c r="L212" s="197"/>
      <c r="M212" s="181"/>
    </row>
    <row r="213" spans="1:14" ht="23.25" customHeight="1" x14ac:dyDescent="0.2">
      <c r="A213" s="185"/>
      <c r="B213" s="186"/>
      <c r="C213" s="187"/>
      <c r="D213" s="188"/>
      <c r="E213" s="188"/>
      <c r="F213" s="188"/>
      <c r="G213" s="188"/>
      <c r="H213" s="188"/>
      <c r="I213" s="202"/>
      <c r="J213" s="215"/>
      <c r="K213" s="204">
        <f>SUM(K210:K212)</f>
        <v>11000</v>
      </c>
      <c r="L213" s="205"/>
      <c r="M213" s="193"/>
    </row>
    <row r="214" spans="1:14" ht="23.25" customHeight="1" x14ac:dyDescent="0.2">
      <c r="A214" s="163">
        <v>45</v>
      </c>
      <c r="B214" s="164" t="s">
        <v>394</v>
      </c>
      <c r="C214" s="165"/>
      <c r="D214" s="166" t="s">
        <v>107</v>
      </c>
      <c r="E214" s="166"/>
      <c r="F214" s="166"/>
      <c r="G214" s="166"/>
      <c r="H214" s="166"/>
      <c r="I214" s="167" t="s">
        <v>395</v>
      </c>
      <c r="J214" s="168" t="s">
        <v>369</v>
      </c>
      <c r="K214" s="169">
        <f>15000*80%</f>
        <v>12000</v>
      </c>
      <c r="L214" s="170" t="s">
        <v>111</v>
      </c>
      <c r="M214" s="171" t="s">
        <v>396</v>
      </c>
    </row>
    <row r="215" spans="1:14" ht="23.25" customHeight="1" x14ac:dyDescent="0.2">
      <c r="A215" s="173"/>
      <c r="B215" s="174"/>
      <c r="C215" s="175"/>
      <c r="D215" s="176"/>
      <c r="E215" s="176"/>
      <c r="F215" s="176"/>
      <c r="G215" s="176"/>
      <c r="H215" s="176"/>
      <c r="I215" s="184" t="s">
        <v>397</v>
      </c>
      <c r="J215" s="183" t="s">
        <v>247</v>
      </c>
      <c r="K215" s="179">
        <f>15000*10%</f>
        <v>1500</v>
      </c>
      <c r="L215" s="180"/>
      <c r="M215" s="181"/>
      <c r="N215" s="172"/>
    </row>
    <row r="216" spans="1:14" ht="23.25" customHeight="1" x14ac:dyDescent="0.2">
      <c r="A216" s="173"/>
      <c r="B216" s="174"/>
      <c r="C216" s="175"/>
      <c r="D216" s="176"/>
      <c r="E216" s="176"/>
      <c r="F216" s="176"/>
      <c r="G216" s="176"/>
      <c r="H216" s="176"/>
      <c r="I216" s="167" t="s">
        <v>398</v>
      </c>
      <c r="J216" s="178" t="s">
        <v>399</v>
      </c>
      <c r="K216" s="179">
        <f>15000*10%</f>
        <v>1500</v>
      </c>
      <c r="L216" s="180"/>
      <c r="M216" s="181"/>
    </row>
    <row r="217" spans="1:14" ht="23.25" customHeight="1" x14ac:dyDescent="0.2">
      <c r="A217" s="185"/>
      <c r="B217" s="186"/>
      <c r="C217" s="187"/>
      <c r="D217" s="188"/>
      <c r="E217" s="188"/>
      <c r="F217" s="188"/>
      <c r="G217" s="188"/>
      <c r="H217" s="188"/>
      <c r="I217" s="202"/>
      <c r="J217" s="215"/>
      <c r="K217" s="216">
        <f>SUM(K214:K216)</f>
        <v>15000</v>
      </c>
      <c r="L217" s="192"/>
      <c r="M217" s="193"/>
    </row>
    <row r="218" spans="1:14" ht="23.25" customHeight="1" x14ac:dyDescent="0.2">
      <c r="A218" s="163">
        <v>46</v>
      </c>
      <c r="B218" s="164" t="s">
        <v>400</v>
      </c>
      <c r="C218" s="165"/>
      <c r="D218" s="166" t="s">
        <v>107</v>
      </c>
      <c r="E218" s="166"/>
      <c r="F218" s="166"/>
      <c r="G218" s="166"/>
      <c r="H218" s="166" t="s">
        <v>164</v>
      </c>
      <c r="I218" s="217" t="s">
        <v>401</v>
      </c>
      <c r="J218" s="168" t="s">
        <v>369</v>
      </c>
      <c r="K218" s="169">
        <v>4700</v>
      </c>
      <c r="L218" s="170" t="s">
        <v>111</v>
      </c>
      <c r="M218" s="171" t="s">
        <v>402</v>
      </c>
    </row>
    <row r="219" spans="1:14" ht="23.25" customHeight="1" x14ac:dyDescent="0.2">
      <c r="A219" s="173"/>
      <c r="B219" s="174"/>
      <c r="C219" s="175"/>
      <c r="D219" s="176"/>
      <c r="E219" s="176"/>
      <c r="F219" s="176"/>
      <c r="G219" s="176"/>
      <c r="H219" s="176"/>
      <c r="I219" s="184" t="s">
        <v>403</v>
      </c>
      <c r="J219" s="178" t="s">
        <v>362</v>
      </c>
      <c r="K219" s="179">
        <f>4700*20%</f>
        <v>940</v>
      </c>
      <c r="L219" s="180"/>
      <c r="M219" s="181"/>
    </row>
    <row r="220" spans="1:14" ht="23.25" customHeight="1" x14ac:dyDescent="0.2">
      <c r="A220" s="185"/>
      <c r="B220" s="186"/>
      <c r="C220" s="187"/>
      <c r="D220" s="188"/>
      <c r="E220" s="188"/>
      <c r="F220" s="188"/>
      <c r="G220" s="188"/>
      <c r="H220" s="188"/>
      <c r="I220" s="189"/>
      <c r="J220" s="215"/>
      <c r="K220" s="216">
        <f>SUM(K218:K219)</f>
        <v>5640</v>
      </c>
      <c r="L220" s="192"/>
      <c r="M220" s="193"/>
    </row>
    <row r="221" spans="1:14" ht="50.25" customHeight="1" x14ac:dyDescent="0.2">
      <c r="A221" s="232">
        <v>47</v>
      </c>
      <c r="B221" s="255" t="s">
        <v>404</v>
      </c>
      <c r="C221" s="256" t="s">
        <v>404</v>
      </c>
      <c r="D221" s="258" t="s">
        <v>107</v>
      </c>
      <c r="E221" s="258"/>
      <c r="F221" s="258"/>
      <c r="G221" s="258"/>
      <c r="H221" s="259"/>
      <c r="I221" s="189" t="s">
        <v>405</v>
      </c>
      <c r="J221" s="215" t="s">
        <v>362</v>
      </c>
      <c r="K221" s="260">
        <v>6050</v>
      </c>
      <c r="L221" s="261" t="s">
        <v>111</v>
      </c>
      <c r="M221" s="189" t="s">
        <v>406</v>
      </c>
    </row>
    <row r="222" spans="1:14" ht="23.25" customHeight="1" x14ac:dyDescent="0.2">
      <c r="A222" s="163">
        <v>48</v>
      </c>
      <c r="B222" s="164" t="s">
        <v>407</v>
      </c>
      <c r="C222" s="165"/>
      <c r="D222" s="166" t="s">
        <v>107</v>
      </c>
      <c r="E222" s="166"/>
      <c r="F222" s="166"/>
      <c r="G222" s="166"/>
      <c r="H222" s="166" t="s">
        <v>164</v>
      </c>
      <c r="I222" s="217" t="s">
        <v>408</v>
      </c>
      <c r="J222" s="168" t="s">
        <v>369</v>
      </c>
      <c r="K222" s="169">
        <f>8000*60%</f>
        <v>4800</v>
      </c>
      <c r="L222" s="170" t="s">
        <v>111</v>
      </c>
      <c r="M222" s="171" t="s">
        <v>409</v>
      </c>
    </row>
    <row r="223" spans="1:14" ht="23.25" customHeight="1" x14ac:dyDescent="0.2">
      <c r="A223" s="173"/>
      <c r="B223" s="174"/>
      <c r="C223" s="175"/>
      <c r="D223" s="176"/>
      <c r="E223" s="176"/>
      <c r="F223" s="176"/>
      <c r="G223" s="176"/>
      <c r="H223" s="176"/>
      <c r="I223" s="184" t="s">
        <v>410</v>
      </c>
      <c r="J223" s="183" t="s">
        <v>362</v>
      </c>
      <c r="K223" s="208">
        <f>8000*40%</f>
        <v>3200</v>
      </c>
      <c r="L223" s="180"/>
      <c r="M223" s="181"/>
    </row>
    <row r="224" spans="1:14" ht="23.25" customHeight="1" x14ac:dyDescent="0.2">
      <c r="A224" s="185"/>
      <c r="B224" s="186"/>
      <c r="C224" s="187"/>
      <c r="D224" s="188"/>
      <c r="E224" s="188"/>
      <c r="F224" s="188"/>
      <c r="G224" s="188"/>
      <c r="H224" s="188"/>
      <c r="I224" s="189"/>
      <c r="J224" s="190"/>
      <c r="K224" s="209">
        <f>SUM(K222:K223)</f>
        <v>8000</v>
      </c>
      <c r="L224" s="192"/>
      <c r="M224" s="193"/>
    </row>
    <row r="225" spans="1:13" ht="23.25" customHeight="1" x14ac:dyDescent="0.2">
      <c r="A225" s="163">
        <v>49</v>
      </c>
      <c r="B225" s="164" t="s">
        <v>411</v>
      </c>
      <c r="C225" s="165"/>
      <c r="D225" s="166" t="s">
        <v>107</v>
      </c>
      <c r="E225" s="166"/>
      <c r="F225" s="166"/>
      <c r="G225" s="166"/>
      <c r="H225" s="166" t="s">
        <v>164</v>
      </c>
      <c r="I225" s="167" t="s">
        <v>412</v>
      </c>
      <c r="J225" s="194" t="s">
        <v>362</v>
      </c>
      <c r="K225" s="169">
        <f>4900*50%</f>
        <v>2450</v>
      </c>
      <c r="L225" s="170" t="s">
        <v>111</v>
      </c>
      <c r="M225" s="171" t="s">
        <v>413</v>
      </c>
    </row>
    <row r="226" spans="1:13" ht="23.25" customHeight="1" x14ac:dyDescent="0.2">
      <c r="A226" s="173"/>
      <c r="B226" s="174"/>
      <c r="C226" s="175"/>
      <c r="D226" s="176"/>
      <c r="E226" s="176"/>
      <c r="F226" s="176"/>
      <c r="G226" s="176"/>
      <c r="H226" s="176"/>
      <c r="I226" s="177" t="s">
        <v>414</v>
      </c>
      <c r="J226" s="168"/>
      <c r="K226" s="182">
        <f>4900*50%</f>
        <v>2450</v>
      </c>
      <c r="L226" s="180"/>
      <c r="M226" s="181"/>
    </row>
    <row r="227" spans="1:13" ht="23.25" customHeight="1" x14ac:dyDescent="0.2">
      <c r="A227" s="185"/>
      <c r="B227" s="186"/>
      <c r="C227" s="187"/>
      <c r="D227" s="188"/>
      <c r="E227" s="188"/>
      <c r="F227" s="188"/>
      <c r="G227" s="188"/>
      <c r="H227" s="188"/>
      <c r="I227" s="202"/>
      <c r="J227" s="190"/>
      <c r="K227" s="191">
        <f>SUM(K225:K226)</f>
        <v>4900</v>
      </c>
      <c r="L227" s="192"/>
      <c r="M227" s="193"/>
    </row>
    <row r="228" spans="1:13" ht="71.25" customHeight="1" x14ac:dyDescent="0.2">
      <c r="A228" s="232">
        <v>50</v>
      </c>
      <c r="B228" s="255" t="s">
        <v>415</v>
      </c>
      <c r="C228" s="256" t="s">
        <v>415</v>
      </c>
      <c r="D228" s="258" t="s">
        <v>107</v>
      </c>
      <c r="E228" s="258"/>
      <c r="F228" s="258"/>
      <c r="G228" s="258"/>
      <c r="H228" s="259"/>
      <c r="I228" s="189" t="s">
        <v>416</v>
      </c>
      <c r="J228" s="215" t="s">
        <v>362</v>
      </c>
      <c r="K228" s="260">
        <v>4700</v>
      </c>
      <c r="L228" s="261" t="s">
        <v>111</v>
      </c>
      <c r="M228" s="189" t="s">
        <v>417</v>
      </c>
    </row>
    <row r="229" spans="1:13" ht="23.25" customHeight="1" x14ac:dyDescent="0.2">
      <c r="A229" s="163">
        <v>51</v>
      </c>
      <c r="B229" s="164" t="s">
        <v>418</v>
      </c>
      <c r="C229" s="165"/>
      <c r="D229" s="166" t="s">
        <v>107</v>
      </c>
      <c r="E229" s="166"/>
      <c r="F229" s="166"/>
      <c r="G229" s="166"/>
      <c r="H229" s="166"/>
      <c r="I229" s="217" t="s">
        <v>419</v>
      </c>
      <c r="J229" s="168" t="s">
        <v>420</v>
      </c>
      <c r="K229" s="169">
        <f>4000*40%</f>
        <v>1600</v>
      </c>
      <c r="L229" s="170" t="s">
        <v>111</v>
      </c>
      <c r="M229" s="171" t="s">
        <v>421</v>
      </c>
    </row>
    <row r="230" spans="1:13" ht="23.25" customHeight="1" x14ac:dyDescent="0.2">
      <c r="A230" s="173"/>
      <c r="B230" s="174"/>
      <c r="C230" s="175"/>
      <c r="D230" s="176"/>
      <c r="E230" s="176"/>
      <c r="F230" s="176"/>
      <c r="G230" s="176"/>
      <c r="H230" s="176"/>
      <c r="I230" s="167" t="s">
        <v>422</v>
      </c>
      <c r="J230" s="183" t="s">
        <v>420</v>
      </c>
      <c r="K230" s="179">
        <f>4000*20%</f>
        <v>800</v>
      </c>
      <c r="L230" s="180"/>
      <c r="M230" s="181"/>
    </row>
    <row r="231" spans="1:13" ht="23.25" customHeight="1" x14ac:dyDescent="0.2">
      <c r="A231" s="173"/>
      <c r="B231" s="174"/>
      <c r="C231" s="175"/>
      <c r="D231" s="176"/>
      <c r="E231" s="176"/>
      <c r="F231" s="176"/>
      <c r="G231" s="176"/>
      <c r="H231" s="176"/>
      <c r="I231" s="184" t="s">
        <v>423</v>
      </c>
      <c r="J231" s="183" t="s">
        <v>420</v>
      </c>
      <c r="K231" s="208">
        <f>4000*20%</f>
        <v>800</v>
      </c>
      <c r="L231" s="180"/>
      <c r="M231" s="181"/>
    </row>
    <row r="232" spans="1:13" ht="23.25" customHeight="1" x14ac:dyDescent="0.2">
      <c r="A232" s="173"/>
      <c r="B232" s="174"/>
      <c r="C232" s="175"/>
      <c r="D232" s="176"/>
      <c r="E232" s="176"/>
      <c r="F232" s="176"/>
      <c r="G232" s="176"/>
      <c r="H232" s="176"/>
      <c r="I232" s="177" t="s">
        <v>424</v>
      </c>
      <c r="J232" s="183" t="s">
        <v>420</v>
      </c>
      <c r="K232" s="208">
        <f>4000*20%</f>
        <v>800</v>
      </c>
      <c r="L232" s="180"/>
      <c r="M232" s="181"/>
    </row>
    <row r="233" spans="1:13" ht="23.25" customHeight="1" x14ac:dyDescent="0.2">
      <c r="A233" s="185"/>
      <c r="B233" s="186"/>
      <c r="C233" s="187"/>
      <c r="D233" s="188"/>
      <c r="E233" s="188"/>
      <c r="F233" s="188"/>
      <c r="G233" s="188"/>
      <c r="H233" s="188"/>
      <c r="I233" s="202"/>
      <c r="J233" s="190"/>
      <c r="K233" s="209">
        <f>SUM(K229:K232)</f>
        <v>4000</v>
      </c>
      <c r="L233" s="192"/>
      <c r="M233" s="193"/>
    </row>
    <row r="234" spans="1:13" ht="23.25" customHeight="1" x14ac:dyDescent="0.2">
      <c r="A234" s="163">
        <v>52</v>
      </c>
      <c r="B234" s="164" t="s">
        <v>425</v>
      </c>
      <c r="C234" s="165"/>
      <c r="D234" s="166" t="s">
        <v>107</v>
      </c>
      <c r="E234" s="166"/>
      <c r="F234" s="166"/>
      <c r="G234" s="166"/>
      <c r="H234" s="166"/>
      <c r="I234" s="167" t="s">
        <v>419</v>
      </c>
      <c r="J234" s="168" t="s">
        <v>369</v>
      </c>
      <c r="K234" s="169">
        <f>19950*40%</f>
        <v>7980</v>
      </c>
      <c r="L234" s="195" t="s">
        <v>111</v>
      </c>
      <c r="M234" s="171" t="s">
        <v>426</v>
      </c>
    </row>
    <row r="235" spans="1:13" ht="23.25" customHeight="1" x14ac:dyDescent="0.2">
      <c r="A235" s="173"/>
      <c r="B235" s="174"/>
      <c r="C235" s="175"/>
      <c r="D235" s="176"/>
      <c r="E235" s="176"/>
      <c r="F235" s="176"/>
      <c r="G235" s="176"/>
      <c r="H235" s="176"/>
      <c r="I235" s="184" t="s">
        <v>422</v>
      </c>
      <c r="J235" s="207" t="s">
        <v>369</v>
      </c>
      <c r="K235" s="196">
        <f>19950*20%</f>
        <v>3990</v>
      </c>
      <c r="L235" s="197"/>
      <c r="M235" s="181"/>
    </row>
    <row r="236" spans="1:13" ht="23.25" customHeight="1" x14ac:dyDescent="0.2">
      <c r="A236" s="173"/>
      <c r="B236" s="174"/>
      <c r="C236" s="175"/>
      <c r="D236" s="176"/>
      <c r="E236" s="176"/>
      <c r="F236" s="176"/>
      <c r="G236" s="176"/>
      <c r="H236" s="176"/>
      <c r="I236" s="184" t="s">
        <v>423</v>
      </c>
      <c r="J236" s="178" t="s">
        <v>369</v>
      </c>
      <c r="K236" s="198">
        <f>19950*20%</f>
        <v>3990</v>
      </c>
      <c r="L236" s="197"/>
      <c r="M236" s="181"/>
    </row>
    <row r="237" spans="1:13" ht="23.25" customHeight="1" x14ac:dyDescent="0.2">
      <c r="A237" s="173"/>
      <c r="B237" s="174"/>
      <c r="C237" s="175"/>
      <c r="D237" s="176"/>
      <c r="E237" s="176"/>
      <c r="F237" s="176"/>
      <c r="G237" s="176"/>
      <c r="H237" s="176"/>
      <c r="I237" s="167" t="s">
        <v>424</v>
      </c>
      <c r="J237" s="304" t="s">
        <v>369</v>
      </c>
      <c r="K237" s="200">
        <f>19950*20%</f>
        <v>3990</v>
      </c>
      <c r="L237" s="197"/>
      <c r="M237" s="181"/>
    </row>
    <row r="238" spans="1:13" ht="23.25" customHeight="1" x14ac:dyDescent="0.2">
      <c r="A238" s="185"/>
      <c r="B238" s="186"/>
      <c r="C238" s="187"/>
      <c r="D238" s="188"/>
      <c r="E238" s="188"/>
      <c r="F238" s="188"/>
      <c r="G238" s="188"/>
      <c r="H238" s="188"/>
      <c r="I238" s="202"/>
      <c r="J238" s="215"/>
      <c r="K238" s="209">
        <f>SUM(K234:K237)</f>
        <v>19950</v>
      </c>
      <c r="L238" s="205"/>
      <c r="M238" s="193"/>
    </row>
    <row r="239" spans="1:13" ht="23.25" customHeight="1" x14ac:dyDescent="0.2">
      <c r="A239" s="163">
        <v>53</v>
      </c>
      <c r="B239" s="164" t="s">
        <v>427</v>
      </c>
      <c r="C239" s="165"/>
      <c r="D239" s="166" t="s">
        <v>107</v>
      </c>
      <c r="E239" s="166"/>
      <c r="F239" s="166"/>
      <c r="G239" s="166"/>
      <c r="H239" s="166"/>
      <c r="I239" s="167" t="s">
        <v>428</v>
      </c>
      <c r="J239" s="168" t="s">
        <v>369</v>
      </c>
      <c r="K239" s="169">
        <f>7000*50%</f>
        <v>3500</v>
      </c>
      <c r="L239" s="170" t="s">
        <v>111</v>
      </c>
      <c r="M239" s="171" t="s">
        <v>429</v>
      </c>
    </row>
    <row r="240" spans="1:13" ht="23.25" customHeight="1" x14ac:dyDescent="0.2">
      <c r="A240" s="173"/>
      <c r="B240" s="174"/>
      <c r="C240" s="175"/>
      <c r="D240" s="176"/>
      <c r="E240" s="176"/>
      <c r="F240" s="176"/>
      <c r="G240" s="176"/>
      <c r="H240" s="176"/>
      <c r="I240" s="184" t="s">
        <v>430</v>
      </c>
      <c r="J240" s="178" t="s">
        <v>362</v>
      </c>
      <c r="K240" s="208">
        <f>7000*50%</f>
        <v>3500</v>
      </c>
      <c r="L240" s="180"/>
      <c r="M240" s="181"/>
    </row>
    <row r="241" spans="1:13" ht="23.25" customHeight="1" x14ac:dyDescent="0.2">
      <c r="A241" s="185"/>
      <c r="B241" s="186"/>
      <c r="C241" s="187"/>
      <c r="D241" s="188"/>
      <c r="E241" s="188"/>
      <c r="F241" s="188"/>
      <c r="G241" s="188"/>
      <c r="H241" s="188"/>
      <c r="I241" s="189"/>
      <c r="J241" s="215"/>
      <c r="K241" s="216">
        <f>SUM(K239:K240)</f>
        <v>7000</v>
      </c>
      <c r="L241" s="192"/>
      <c r="M241" s="193"/>
    </row>
    <row r="242" spans="1:13" ht="23.25" customHeight="1" x14ac:dyDescent="0.2">
      <c r="A242" s="163">
        <v>54</v>
      </c>
      <c r="B242" s="164" t="s">
        <v>431</v>
      </c>
      <c r="C242" s="165"/>
      <c r="D242" s="166" t="s">
        <v>107</v>
      </c>
      <c r="E242" s="166"/>
      <c r="F242" s="166"/>
      <c r="G242" s="166"/>
      <c r="H242" s="166" t="s">
        <v>164</v>
      </c>
      <c r="I242" s="167" t="s">
        <v>432</v>
      </c>
      <c r="J242" s="168" t="s">
        <v>369</v>
      </c>
      <c r="K242" s="169">
        <f>4700*70%</f>
        <v>3290</v>
      </c>
      <c r="L242" s="195" t="s">
        <v>111</v>
      </c>
      <c r="M242" s="171" t="s">
        <v>433</v>
      </c>
    </row>
    <row r="243" spans="1:13" ht="23.25" customHeight="1" x14ac:dyDescent="0.2">
      <c r="A243" s="173"/>
      <c r="B243" s="174"/>
      <c r="C243" s="175"/>
      <c r="D243" s="176"/>
      <c r="E243" s="176"/>
      <c r="F243" s="176"/>
      <c r="G243" s="176"/>
      <c r="H243" s="176"/>
      <c r="I243" s="177" t="s">
        <v>434</v>
      </c>
      <c r="J243" s="183" t="s">
        <v>362</v>
      </c>
      <c r="K243" s="200">
        <f>4700*30%</f>
        <v>1410</v>
      </c>
      <c r="L243" s="197"/>
      <c r="M243" s="181"/>
    </row>
    <row r="244" spans="1:13" ht="23.25" customHeight="1" x14ac:dyDescent="0.2">
      <c r="A244" s="185"/>
      <c r="B244" s="186"/>
      <c r="C244" s="187"/>
      <c r="D244" s="188"/>
      <c r="E244" s="188"/>
      <c r="F244" s="188"/>
      <c r="G244" s="188"/>
      <c r="H244" s="188"/>
      <c r="I244" s="202"/>
      <c r="J244" s="190"/>
      <c r="K244" s="209">
        <f>SUM(K242:K243)</f>
        <v>4700</v>
      </c>
      <c r="L244" s="205"/>
      <c r="M244" s="193"/>
    </row>
    <row r="245" spans="1:13" ht="23.25" customHeight="1" x14ac:dyDescent="0.2">
      <c r="A245" s="163">
        <v>55</v>
      </c>
      <c r="B245" s="164" t="s">
        <v>435</v>
      </c>
      <c r="C245" s="165"/>
      <c r="D245" s="166" t="s">
        <v>107</v>
      </c>
      <c r="E245" s="166"/>
      <c r="F245" s="166"/>
      <c r="G245" s="166"/>
      <c r="H245" s="166"/>
      <c r="I245" s="217" t="s">
        <v>436</v>
      </c>
      <c r="J245" s="194" t="s">
        <v>369</v>
      </c>
      <c r="K245" s="169">
        <f>4700*80%</f>
        <v>3760</v>
      </c>
      <c r="L245" s="195" t="s">
        <v>111</v>
      </c>
      <c r="M245" s="171" t="s">
        <v>437</v>
      </c>
    </row>
    <row r="246" spans="1:13" ht="23.25" customHeight="1" x14ac:dyDescent="0.2">
      <c r="A246" s="173"/>
      <c r="B246" s="174"/>
      <c r="C246" s="175"/>
      <c r="D246" s="176"/>
      <c r="E246" s="176"/>
      <c r="F246" s="176"/>
      <c r="G246" s="176"/>
      <c r="H246" s="176"/>
      <c r="I246" s="184" t="s">
        <v>438</v>
      </c>
      <c r="J246" s="168" t="s">
        <v>110</v>
      </c>
      <c r="K246" s="196">
        <f>4700*10%</f>
        <v>470</v>
      </c>
      <c r="L246" s="197"/>
      <c r="M246" s="181"/>
    </row>
    <row r="247" spans="1:13" ht="23.25" customHeight="1" x14ac:dyDescent="0.2">
      <c r="A247" s="173"/>
      <c r="B247" s="174"/>
      <c r="C247" s="175"/>
      <c r="D247" s="176"/>
      <c r="E247" s="176"/>
      <c r="F247" s="176"/>
      <c r="G247" s="176"/>
      <c r="H247" s="176"/>
      <c r="I247" s="167" t="s">
        <v>439</v>
      </c>
      <c r="J247" s="178" t="s">
        <v>362</v>
      </c>
      <c r="K247" s="200">
        <f>4700*10%</f>
        <v>470</v>
      </c>
      <c r="L247" s="197"/>
      <c r="M247" s="181"/>
    </row>
    <row r="248" spans="1:13" ht="23.25" customHeight="1" x14ac:dyDescent="0.2">
      <c r="A248" s="185"/>
      <c r="B248" s="186"/>
      <c r="C248" s="187"/>
      <c r="D248" s="188"/>
      <c r="E248" s="188"/>
      <c r="F248" s="188"/>
      <c r="G248" s="188"/>
      <c r="H248" s="188"/>
      <c r="I248" s="202"/>
      <c r="J248" s="190"/>
      <c r="K248" s="209"/>
      <c r="L248" s="205"/>
      <c r="M248" s="193"/>
    </row>
    <row r="249" spans="1:13" ht="69.75" customHeight="1" x14ac:dyDescent="0.2">
      <c r="A249" s="232">
        <v>56</v>
      </c>
      <c r="B249" s="255" t="s">
        <v>440</v>
      </c>
      <c r="C249" s="256" t="s">
        <v>440</v>
      </c>
      <c r="D249" s="258" t="s">
        <v>107</v>
      </c>
      <c r="E249" s="258"/>
      <c r="F249" s="258"/>
      <c r="G249" s="258"/>
      <c r="H249" s="259"/>
      <c r="I249" s="189" t="s">
        <v>441</v>
      </c>
      <c r="J249" s="215" t="s">
        <v>362</v>
      </c>
      <c r="K249" s="260">
        <v>4700</v>
      </c>
      <c r="L249" s="261" t="s">
        <v>111</v>
      </c>
      <c r="M249" s="189" t="s">
        <v>442</v>
      </c>
    </row>
    <row r="250" spans="1:13" ht="23.25" customHeight="1" x14ac:dyDescent="0.2">
      <c r="A250" s="163">
        <v>57</v>
      </c>
      <c r="B250" s="164" t="s">
        <v>443</v>
      </c>
      <c r="C250" s="165"/>
      <c r="D250" s="166" t="s">
        <v>107</v>
      </c>
      <c r="E250" s="166"/>
      <c r="F250" s="166"/>
      <c r="G250" s="166"/>
      <c r="H250" s="166"/>
      <c r="I250" s="167" t="s">
        <v>444</v>
      </c>
      <c r="J250" s="194" t="s">
        <v>369</v>
      </c>
      <c r="K250" s="169">
        <f>4900*80%</f>
        <v>3920</v>
      </c>
      <c r="L250" s="195" t="s">
        <v>111</v>
      </c>
      <c r="M250" s="171" t="s">
        <v>445</v>
      </c>
    </row>
    <row r="251" spans="1:13" ht="23.25" customHeight="1" x14ac:dyDescent="0.2">
      <c r="A251" s="173"/>
      <c r="B251" s="174"/>
      <c r="C251" s="175"/>
      <c r="D251" s="176"/>
      <c r="E251" s="176"/>
      <c r="F251" s="176"/>
      <c r="G251" s="176"/>
      <c r="H251" s="176"/>
      <c r="I251" s="177" t="s">
        <v>446</v>
      </c>
      <c r="J251" s="168" t="s">
        <v>369</v>
      </c>
      <c r="K251" s="196">
        <f>4900*10%</f>
        <v>490</v>
      </c>
      <c r="L251" s="197"/>
      <c r="M251" s="181"/>
    </row>
    <row r="252" spans="1:13" ht="23.25" customHeight="1" x14ac:dyDescent="0.2">
      <c r="A252" s="173"/>
      <c r="B252" s="174"/>
      <c r="C252" s="175"/>
      <c r="D252" s="176"/>
      <c r="E252" s="176"/>
      <c r="F252" s="176"/>
      <c r="G252" s="176"/>
      <c r="H252" s="176"/>
      <c r="I252" s="184" t="s">
        <v>447</v>
      </c>
      <c r="J252" s="183" t="s">
        <v>362</v>
      </c>
      <c r="K252" s="198">
        <f>4900*10%</f>
        <v>490</v>
      </c>
      <c r="L252" s="197"/>
      <c r="M252" s="181"/>
    </row>
    <row r="253" spans="1:13" ht="23.25" customHeight="1" x14ac:dyDescent="0.2">
      <c r="A253" s="185"/>
      <c r="B253" s="186"/>
      <c r="C253" s="187"/>
      <c r="D253" s="188"/>
      <c r="E253" s="188"/>
      <c r="F253" s="188"/>
      <c r="G253" s="188"/>
      <c r="H253" s="188"/>
      <c r="I253" s="189"/>
      <c r="J253" s="190"/>
      <c r="K253" s="211">
        <f>SUM(K250:K252)</f>
        <v>4900</v>
      </c>
      <c r="L253" s="205"/>
      <c r="M253" s="193"/>
    </row>
    <row r="254" spans="1:13" ht="76.5" customHeight="1" x14ac:dyDescent="0.2">
      <c r="A254" s="232">
        <v>58</v>
      </c>
      <c r="B254" s="255" t="s">
        <v>448</v>
      </c>
      <c r="C254" s="256" t="s">
        <v>448</v>
      </c>
      <c r="D254" s="258" t="s">
        <v>107</v>
      </c>
      <c r="E254" s="258"/>
      <c r="F254" s="258"/>
      <c r="G254" s="258"/>
      <c r="H254" s="259"/>
      <c r="I254" s="189" t="s">
        <v>449</v>
      </c>
      <c r="J254" s="215" t="s">
        <v>362</v>
      </c>
      <c r="K254" s="260">
        <v>4700</v>
      </c>
      <c r="L254" s="261" t="s">
        <v>111</v>
      </c>
      <c r="M254" s="189" t="s">
        <v>450</v>
      </c>
    </row>
    <row r="255" spans="1:13" ht="65.25" customHeight="1" x14ac:dyDescent="0.2">
      <c r="A255" s="232">
        <v>59</v>
      </c>
      <c r="B255" s="255" t="s">
        <v>451</v>
      </c>
      <c r="C255" s="256" t="s">
        <v>451</v>
      </c>
      <c r="D255" s="258" t="s">
        <v>107</v>
      </c>
      <c r="E255" s="258"/>
      <c r="F255" s="258"/>
      <c r="G255" s="258"/>
      <c r="H255" s="259"/>
      <c r="I255" s="189" t="s">
        <v>452</v>
      </c>
      <c r="J255" s="215" t="s">
        <v>362</v>
      </c>
      <c r="K255" s="260">
        <v>4700</v>
      </c>
      <c r="L255" s="261" t="s">
        <v>111</v>
      </c>
      <c r="M255" s="189" t="s">
        <v>453</v>
      </c>
    </row>
    <row r="256" spans="1:13" ht="21.75" customHeight="1" x14ac:dyDescent="0.2">
      <c r="A256" s="163">
        <v>60</v>
      </c>
      <c r="B256" s="164" t="s">
        <v>454</v>
      </c>
      <c r="C256" s="165"/>
      <c r="D256" s="252" t="s">
        <v>107</v>
      </c>
      <c r="E256" s="166"/>
      <c r="F256" s="166"/>
      <c r="G256" s="166"/>
      <c r="H256" s="166"/>
      <c r="I256" s="167" t="s">
        <v>455</v>
      </c>
      <c r="J256" s="194" t="s">
        <v>369</v>
      </c>
      <c r="K256" s="169">
        <f>4900*80%</f>
        <v>3920</v>
      </c>
      <c r="L256" s="170" t="s">
        <v>111</v>
      </c>
      <c r="M256" s="171" t="s">
        <v>456</v>
      </c>
    </row>
    <row r="257" spans="1:14" ht="21.75" customHeight="1" x14ac:dyDescent="0.2">
      <c r="A257" s="173"/>
      <c r="B257" s="174"/>
      <c r="C257" s="175"/>
      <c r="D257" s="245"/>
      <c r="E257" s="176"/>
      <c r="F257" s="176"/>
      <c r="G257" s="176"/>
      <c r="H257" s="176"/>
      <c r="I257" s="177" t="s">
        <v>457</v>
      </c>
      <c r="J257" s="178" t="s">
        <v>253</v>
      </c>
      <c r="K257" s="208">
        <f>4900*10%</f>
        <v>490</v>
      </c>
      <c r="L257" s="180"/>
      <c r="M257" s="181"/>
      <c r="N257" s="172"/>
    </row>
    <row r="258" spans="1:14" ht="21.75" customHeight="1" x14ac:dyDescent="0.2">
      <c r="A258" s="173"/>
      <c r="B258" s="174"/>
      <c r="C258" s="175"/>
      <c r="D258" s="245"/>
      <c r="E258" s="176"/>
      <c r="F258" s="176"/>
      <c r="G258" s="176"/>
      <c r="H258" s="176"/>
      <c r="I258" s="177" t="s">
        <v>458</v>
      </c>
      <c r="J258" s="178" t="s">
        <v>459</v>
      </c>
      <c r="K258" s="201">
        <f>4900*10%</f>
        <v>490</v>
      </c>
      <c r="L258" s="180"/>
      <c r="M258" s="181"/>
    </row>
    <row r="259" spans="1:14" ht="21.75" customHeight="1" x14ac:dyDescent="0.2">
      <c r="A259" s="185"/>
      <c r="B259" s="186"/>
      <c r="C259" s="187"/>
      <c r="D259" s="246"/>
      <c r="E259" s="188"/>
      <c r="F259" s="188"/>
      <c r="G259" s="188"/>
      <c r="H259" s="188"/>
      <c r="I259" s="202"/>
      <c r="J259" s="215"/>
      <c r="K259" s="216">
        <f>SUM(K256:K258)</f>
        <v>4900</v>
      </c>
      <c r="L259" s="192"/>
      <c r="M259" s="193"/>
    </row>
    <row r="260" spans="1:14" ht="65.25" customHeight="1" x14ac:dyDescent="0.2">
      <c r="A260" s="305">
        <v>61</v>
      </c>
      <c r="B260" s="255" t="s">
        <v>460</v>
      </c>
      <c r="C260" s="256" t="s">
        <v>460</v>
      </c>
      <c r="D260" s="257" t="s">
        <v>107</v>
      </c>
      <c r="E260" s="258"/>
      <c r="F260" s="258"/>
      <c r="G260" s="258"/>
      <c r="H260" s="259"/>
      <c r="I260" s="189" t="s">
        <v>461</v>
      </c>
      <c r="J260" s="215" t="s">
        <v>362</v>
      </c>
      <c r="K260" s="260">
        <v>4700</v>
      </c>
      <c r="L260" s="261" t="s">
        <v>111</v>
      </c>
      <c r="M260" s="189" t="s">
        <v>462</v>
      </c>
    </row>
    <row r="261" spans="1:14" ht="65.25" customHeight="1" x14ac:dyDescent="0.2">
      <c r="A261" s="305">
        <v>62</v>
      </c>
      <c r="B261" s="255" t="s">
        <v>463</v>
      </c>
      <c r="C261" s="256" t="s">
        <v>463</v>
      </c>
      <c r="D261" s="257" t="s">
        <v>107</v>
      </c>
      <c r="E261" s="258"/>
      <c r="F261" s="258"/>
      <c r="G261" s="258"/>
      <c r="H261" s="259"/>
      <c r="I261" s="189" t="s">
        <v>464</v>
      </c>
      <c r="J261" s="215" t="s">
        <v>362</v>
      </c>
      <c r="K261" s="260">
        <v>4700</v>
      </c>
      <c r="L261" s="261" t="s">
        <v>111</v>
      </c>
      <c r="M261" s="189" t="s">
        <v>465</v>
      </c>
    </row>
    <row r="262" spans="1:14" ht="24" customHeight="1" x14ac:dyDescent="0.2">
      <c r="A262" s="305">
        <v>63</v>
      </c>
      <c r="B262" s="255" t="s">
        <v>466</v>
      </c>
      <c r="C262" s="256" t="s">
        <v>466</v>
      </c>
      <c r="D262" s="257" t="s">
        <v>107</v>
      </c>
      <c r="E262" s="258"/>
      <c r="F262" s="258"/>
      <c r="G262" s="258"/>
      <c r="H262" s="259"/>
      <c r="I262" s="189" t="s">
        <v>464</v>
      </c>
      <c r="J262" s="215" t="s">
        <v>362</v>
      </c>
      <c r="K262" s="260">
        <v>4900</v>
      </c>
      <c r="L262" s="261" t="s">
        <v>111</v>
      </c>
      <c r="M262" s="189" t="s">
        <v>467</v>
      </c>
    </row>
    <row r="263" spans="1:14" ht="24" customHeight="1" x14ac:dyDescent="0.2">
      <c r="A263" s="305">
        <v>64</v>
      </c>
      <c r="B263" s="255" t="s">
        <v>468</v>
      </c>
      <c r="C263" s="256" t="s">
        <v>468</v>
      </c>
      <c r="D263" s="257" t="s">
        <v>107</v>
      </c>
      <c r="E263" s="258"/>
      <c r="F263" s="258"/>
      <c r="G263" s="258"/>
      <c r="H263" s="259"/>
      <c r="I263" s="189" t="s">
        <v>469</v>
      </c>
      <c r="J263" s="215" t="s">
        <v>362</v>
      </c>
      <c r="K263" s="260">
        <v>4700</v>
      </c>
      <c r="L263" s="261" t="s">
        <v>111</v>
      </c>
      <c r="M263" s="189" t="s">
        <v>470</v>
      </c>
    </row>
    <row r="264" spans="1:14" ht="24" customHeight="1" x14ac:dyDescent="0.2">
      <c r="A264" s="163">
        <v>65</v>
      </c>
      <c r="B264" s="164" t="s">
        <v>471</v>
      </c>
      <c r="C264" s="165"/>
      <c r="D264" s="252" t="s">
        <v>107</v>
      </c>
      <c r="E264" s="166"/>
      <c r="F264" s="166"/>
      <c r="G264" s="166"/>
      <c r="H264" s="166"/>
      <c r="I264" s="217" t="s">
        <v>472</v>
      </c>
      <c r="J264" s="168" t="s">
        <v>369</v>
      </c>
      <c r="K264" s="169">
        <f>4700*80%</f>
        <v>3760</v>
      </c>
      <c r="L264" s="170" t="s">
        <v>111</v>
      </c>
      <c r="M264" s="171" t="s">
        <v>473</v>
      </c>
    </row>
    <row r="265" spans="1:14" ht="24" customHeight="1" x14ac:dyDescent="0.2">
      <c r="A265" s="173"/>
      <c r="B265" s="174"/>
      <c r="C265" s="175"/>
      <c r="D265" s="245"/>
      <c r="E265" s="176"/>
      <c r="F265" s="176"/>
      <c r="G265" s="176"/>
      <c r="H265" s="176"/>
      <c r="I265" s="184" t="s">
        <v>474</v>
      </c>
      <c r="J265" s="178" t="s">
        <v>362</v>
      </c>
      <c r="K265" s="208">
        <f>4700*20%</f>
        <v>940</v>
      </c>
      <c r="L265" s="180"/>
      <c r="M265" s="181"/>
    </row>
    <row r="266" spans="1:14" ht="24" customHeight="1" x14ac:dyDescent="0.2">
      <c r="A266" s="185"/>
      <c r="B266" s="186"/>
      <c r="C266" s="187"/>
      <c r="D266" s="246"/>
      <c r="E266" s="188"/>
      <c r="F266" s="188"/>
      <c r="G266" s="188"/>
      <c r="H266" s="188"/>
      <c r="I266" s="189"/>
      <c r="J266" s="215"/>
      <c r="K266" s="209">
        <f>SUM(K264:K265)</f>
        <v>4700</v>
      </c>
      <c r="L266" s="192"/>
      <c r="M266" s="193"/>
    </row>
    <row r="267" spans="1:14" ht="24" customHeight="1" x14ac:dyDescent="0.2">
      <c r="A267" s="305">
        <v>66</v>
      </c>
      <c r="B267" s="255" t="s">
        <v>475</v>
      </c>
      <c r="C267" s="256" t="s">
        <v>475</v>
      </c>
      <c r="D267" s="257" t="s">
        <v>107</v>
      </c>
      <c r="E267" s="258"/>
      <c r="F267" s="258"/>
      <c r="G267" s="258"/>
      <c r="H267" s="259"/>
      <c r="I267" s="189" t="s">
        <v>476</v>
      </c>
      <c r="J267" s="215" t="s">
        <v>362</v>
      </c>
      <c r="K267" s="260">
        <v>8000</v>
      </c>
      <c r="L267" s="261" t="s">
        <v>111</v>
      </c>
      <c r="M267" s="189" t="s">
        <v>477</v>
      </c>
    </row>
    <row r="268" spans="1:14" ht="24" customHeight="1" x14ac:dyDescent="0.2">
      <c r="A268" s="163">
        <v>67</v>
      </c>
      <c r="B268" s="164" t="s">
        <v>478</v>
      </c>
      <c r="C268" s="165"/>
      <c r="D268" s="252" t="s">
        <v>107</v>
      </c>
      <c r="E268" s="166"/>
      <c r="F268" s="166"/>
      <c r="G268" s="166"/>
      <c r="H268" s="166"/>
      <c r="I268" s="217" t="s">
        <v>479</v>
      </c>
      <c r="J268" s="168" t="s">
        <v>369</v>
      </c>
      <c r="K268" s="169">
        <f>11000*60%</f>
        <v>6600</v>
      </c>
      <c r="L268" s="170" t="s">
        <v>111</v>
      </c>
      <c r="M268" s="171" t="s">
        <v>480</v>
      </c>
    </row>
    <row r="269" spans="1:14" ht="24" customHeight="1" x14ac:dyDescent="0.2">
      <c r="A269" s="173"/>
      <c r="B269" s="174"/>
      <c r="C269" s="175"/>
      <c r="D269" s="245"/>
      <c r="E269" s="176"/>
      <c r="F269" s="176"/>
      <c r="G269" s="176"/>
      <c r="H269" s="176"/>
      <c r="I269" s="167" t="s">
        <v>481</v>
      </c>
      <c r="J269" s="183" t="s">
        <v>362</v>
      </c>
      <c r="K269" s="208">
        <f>11000*20%</f>
        <v>2200</v>
      </c>
      <c r="L269" s="180"/>
      <c r="M269" s="181"/>
    </row>
    <row r="270" spans="1:14" ht="24" customHeight="1" x14ac:dyDescent="0.2">
      <c r="A270" s="173"/>
      <c r="B270" s="174"/>
      <c r="C270" s="175"/>
      <c r="D270" s="245"/>
      <c r="E270" s="176"/>
      <c r="F270" s="176"/>
      <c r="G270" s="176"/>
      <c r="H270" s="176"/>
      <c r="I270" s="177" t="s">
        <v>482</v>
      </c>
      <c r="J270" s="178" t="s">
        <v>362</v>
      </c>
      <c r="K270" s="208">
        <f>11000*20%</f>
        <v>2200</v>
      </c>
      <c r="L270" s="180"/>
      <c r="M270" s="181"/>
    </row>
    <row r="271" spans="1:14" ht="24" customHeight="1" x14ac:dyDescent="0.2">
      <c r="A271" s="185"/>
      <c r="B271" s="186"/>
      <c r="C271" s="187"/>
      <c r="D271" s="246"/>
      <c r="E271" s="188"/>
      <c r="F271" s="188"/>
      <c r="G271" s="188"/>
      <c r="H271" s="188"/>
      <c r="I271" s="202"/>
      <c r="J271" s="215"/>
      <c r="K271" s="209">
        <f>SUM(K268:K270)</f>
        <v>11000</v>
      </c>
      <c r="L271" s="192"/>
      <c r="M271" s="193"/>
    </row>
    <row r="272" spans="1:14" ht="24" customHeight="1" x14ac:dyDescent="0.2">
      <c r="A272" s="305">
        <v>68</v>
      </c>
      <c r="B272" s="255" t="s">
        <v>483</v>
      </c>
      <c r="C272" s="256" t="s">
        <v>483</v>
      </c>
      <c r="D272" s="257" t="s">
        <v>107</v>
      </c>
      <c r="E272" s="258"/>
      <c r="F272" s="258"/>
      <c r="G272" s="258"/>
      <c r="H272" s="259"/>
      <c r="I272" s="189" t="s">
        <v>484</v>
      </c>
      <c r="J272" s="215" t="s">
        <v>362</v>
      </c>
      <c r="K272" s="260">
        <v>10000</v>
      </c>
      <c r="L272" s="261" t="s">
        <v>111</v>
      </c>
      <c r="M272" s="189" t="s">
        <v>485</v>
      </c>
    </row>
    <row r="273" spans="1:67" ht="24" customHeight="1" x14ac:dyDescent="0.2">
      <c r="A273" s="163">
        <v>69</v>
      </c>
      <c r="B273" s="164" t="s">
        <v>486</v>
      </c>
      <c r="C273" s="165"/>
      <c r="D273" s="252" t="s">
        <v>107</v>
      </c>
      <c r="E273" s="166"/>
      <c r="F273" s="166"/>
      <c r="G273" s="166"/>
      <c r="H273" s="166"/>
      <c r="I273" s="217" t="s">
        <v>487</v>
      </c>
      <c r="J273" s="194" t="s">
        <v>362</v>
      </c>
      <c r="K273" s="206">
        <f>10000*50%</f>
        <v>5000</v>
      </c>
      <c r="L273" s="170" t="s">
        <v>111</v>
      </c>
      <c r="M273" s="171" t="s">
        <v>488</v>
      </c>
    </row>
    <row r="274" spans="1:67" ht="24" customHeight="1" x14ac:dyDescent="0.2">
      <c r="A274" s="173"/>
      <c r="B274" s="174"/>
      <c r="C274" s="175"/>
      <c r="D274" s="245"/>
      <c r="E274" s="176"/>
      <c r="F274" s="176"/>
      <c r="G274" s="176"/>
      <c r="H274" s="176"/>
      <c r="I274" s="167" t="s">
        <v>489</v>
      </c>
      <c r="J274" s="168" t="s">
        <v>362</v>
      </c>
      <c r="K274" s="201">
        <f>10000*50%</f>
        <v>5000</v>
      </c>
      <c r="L274" s="180"/>
      <c r="M274" s="181"/>
    </row>
    <row r="275" spans="1:67" ht="24" customHeight="1" x14ac:dyDescent="0.2">
      <c r="A275" s="185"/>
      <c r="B275" s="186"/>
      <c r="C275" s="187"/>
      <c r="D275" s="246"/>
      <c r="E275" s="188"/>
      <c r="F275" s="188"/>
      <c r="G275" s="188"/>
      <c r="H275" s="188"/>
      <c r="I275" s="202"/>
      <c r="J275" s="190"/>
      <c r="K275" s="191">
        <f>SUM(K273:K274)</f>
        <v>10000</v>
      </c>
      <c r="L275" s="192"/>
      <c r="M275" s="193"/>
    </row>
    <row r="276" spans="1:67" ht="24" customHeight="1" x14ac:dyDescent="0.2">
      <c r="A276" s="163">
        <v>70</v>
      </c>
      <c r="B276" s="164" t="s">
        <v>490</v>
      </c>
      <c r="C276" s="165"/>
      <c r="D276" s="252" t="s">
        <v>107</v>
      </c>
      <c r="E276" s="166"/>
      <c r="F276" s="166"/>
      <c r="G276" s="166"/>
      <c r="H276" s="166"/>
      <c r="I276" s="217" t="s">
        <v>491</v>
      </c>
      <c r="J276" s="168" t="s">
        <v>362</v>
      </c>
      <c r="K276" s="169">
        <f>4700*70%</f>
        <v>3290</v>
      </c>
      <c r="L276" s="170" t="s">
        <v>111</v>
      </c>
      <c r="M276" s="171" t="s">
        <v>492</v>
      </c>
    </row>
    <row r="277" spans="1:67" ht="24" customHeight="1" x14ac:dyDescent="0.2">
      <c r="A277" s="173"/>
      <c r="B277" s="174"/>
      <c r="C277" s="175"/>
      <c r="D277" s="245"/>
      <c r="E277" s="176"/>
      <c r="F277" s="176"/>
      <c r="G277" s="176"/>
      <c r="H277" s="176"/>
      <c r="I277" s="167" t="s">
        <v>493</v>
      </c>
      <c r="J277" s="178" t="s">
        <v>362</v>
      </c>
      <c r="K277" s="208">
        <f>4700*30%</f>
        <v>1410</v>
      </c>
      <c r="L277" s="180"/>
      <c r="M277" s="181"/>
    </row>
    <row r="278" spans="1:67" ht="24" customHeight="1" x14ac:dyDescent="0.2">
      <c r="A278" s="185"/>
      <c r="B278" s="186"/>
      <c r="C278" s="187"/>
      <c r="D278" s="246"/>
      <c r="E278" s="188"/>
      <c r="F278" s="188"/>
      <c r="G278" s="188"/>
      <c r="H278" s="188"/>
      <c r="I278" s="202"/>
      <c r="J278" s="215"/>
      <c r="K278" s="209">
        <f>SUM(K276:K277)</f>
        <v>4700</v>
      </c>
      <c r="L278" s="192"/>
      <c r="M278" s="193"/>
    </row>
    <row r="279" spans="1:67" ht="66" customHeight="1" x14ac:dyDescent="0.2">
      <c r="A279" s="305">
        <v>71</v>
      </c>
      <c r="B279" s="164" t="s">
        <v>494</v>
      </c>
      <c r="C279" s="165"/>
      <c r="D279" s="262" t="s">
        <v>107</v>
      </c>
      <c r="E279" s="263"/>
      <c r="F279" s="263"/>
      <c r="G279" s="263"/>
      <c r="H279" s="263"/>
      <c r="I279" s="282" t="s">
        <v>495</v>
      </c>
      <c r="J279" s="283" t="s">
        <v>362</v>
      </c>
      <c r="K279" s="210">
        <v>10000</v>
      </c>
      <c r="L279" s="306" t="s">
        <v>111</v>
      </c>
      <c r="M279" s="167" t="s">
        <v>496</v>
      </c>
      <c r="BC279" s="199"/>
      <c r="BD279" s="199"/>
      <c r="BE279" s="199"/>
      <c r="BF279" s="199"/>
      <c r="BG279" s="199"/>
      <c r="BH279" s="199"/>
      <c r="BI279" s="199"/>
      <c r="BJ279" s="199"/>
      <c r="BK279" s="199"/>
      <c r="BL279" s="199"/>
      <c r="BM279" s="199"/>
      <c r="BN279" s="199"/>
      <c r="BO279" s="199"/>
    </row>
    <row r="280" spans="1:67" ht="24" customHeight="1" x14ac:dyDescent="0.2">
      <c r="A280" s="305">
        <v>72</v>
      </c>
      <c r="B280" s="164" t="s">
        <v>497</v>
      </c>
      <c r="C280" s="165"/>
      <c r="D280" s="307" t="s">
        <v>107</v>
      </c>
      <c r="E280" s="308"/>
      <c r="F280" s="308"/>
      <c r="G280" s="308"/>
      <c r="H280" s="308"/>
      <c r="I280" s="189" t="s">
        <v>498</v>
      </c>
      <c r="J280" s="215" t="s">
        <v>362</v>
      </c>
      <c r="K280" s="169">
        <v>10000</v>
      </c>
      <c r="L280" s="306" t="s">
        <v>111</v>
      </c>
      <c r="M280" s="261" t="s">
        <v>499</v>
      </c>
    </row>
    <row r="281" spans="1:67" ht="24" customHeight="1" x14ac:dyDescent="0.2">
      <c r="A281" s="163">
        <v>73</v>
      </c>
      <c r="B281" s="164" t="s">
        <v>500</v>
      </c>
      <c r="C281" s="165"/>
      <c r="D281" s="252" t="s">
        <v>107</v>
      </c>
      <c r="E281" s="166"/>
      <c r="F281" s="166"/>
      <c r="G281" s="166"/>
      <c r="H281" s="166"/>
      <c r="I281" s="217" t="s">
        <v>501</v>
      </c>
      <c r="J281" s="194" t="s">
        <v>362</v>
      </c>
      <c r="K281" s="206">
        <f>10000*50%</f>
        <v>5000</v>
      </c>
      <c r="L281" s="170" t="s">
        <v>111</v>
      </c>
      <c r="M281" s="171" t="s">
        <v>502</v>
      </c>
    </row>
    <row r="282" spans="1:67" ht="24" customHeight="1" x14ac:dyDescent="0.2">
      <c r="A282" s="173"/>
      <c r="B282" s="174"/>
      <c r="C282" s="175"/>
      <c r="D282" s="245"/>
      <c r="E282" s="176"/>
      <c r="F282" s="176"/>
      <c r="G282" s="176"/>
      <c r="H282" s="176"/>
      <c r="I282" s="184" t="s">
        <v>503</v>
      </c>
      <c r="J282" s="168" t="s">
        <v>362</v>
      </c>
      <c r="K282" s="201">
        <f>10000*50%</f>
        <v>5000</v>
      </c>
      <c r="L282" s="180"/>
      <c r="M282" s="181"/>
    </row>
    <row r="283" spans="1:67" ht="24" customHeight="1" x14ac:dyDescent="0.2">
      <c r="A283" s="185"/>
      <c r="B283" s="186"/>
      <c r="C283" s="187"/>
      <c r="D283" s="246"/>
      <c r="E283" s="188"/>
      <c r="F283" s="188"/>
      <c r="G283" s="188"/>
      <c r="H283" s="188"/>
      <c r="I283" s="189"/>
      <c r="J283" s="190"/>
      <c r="K283" s="191">
        <f>SUM(K281:K282)</f>
        <v>10000</v>
      </c>
      <c r="L283" s="192"/>
      <c r="M283" s="193"/>
    </row>
    <row r="284" spans="1:67" ht="24" customHeight="1" x14ac:dyDescent="0.2">
      <c r="A284" s="305">
        <v>74</v>
      </c>
      <c r="B284" s="164" t="s">
        <v>504</v>
      </c>
      <c r="C284" s="165"/>
      <c r="D284" s="307" t="s">
        <v>107</v>
      </c>
      <c r="E284" s="308"/>
      <c r="F284" s="308"/>
      <c r="G284" s="308"/>
      <c r="H284" s="308"/>
      <c r="I284" s="261" t="s">
        <v>505</v>
      </c>
      <c r="J284" s="168" t="s">
        <v>362</v>
      </c>
      <c r="K284" s="169">
        <v>18000</v>
      </c>
      <c r="L284" s="309" t="s">
        <v>111</v>
      </c>
      <c r="M284" s="261" t="s">
        <v>506</v>
      </c>
      <c r="BC284" s="199"/>
      <c r="BD284" s="199"/>
      <c r="BE284" s="199"/>
      <c r="BF284" s="199"/>
      <c r="BG284" s="199"/>
      <c r="BH284" s="199"/>
      <c r="BI284" s="199"/>
      <c r="BJ284" s="199"/>
      <c r="BK284" s="199"/>
      <c r="BL284" s="199"/>
      <c r="BM284" s="199"/>
      <c r="BN284" s="199"/>
      <c r="BO284" s="199"/>
    </row>
    <row r="285" spans="1:67" s="269" customFormat="1" ht="48.75" customHeight="1" x14ac:dyDescent="0.2">
      <c r="A285" s="305">
        <v>75</v>
      </c>
      <c r="B285" s="310" t="s">
        <v>507</v>
      </c>
      <c r="C285" s="311"/>
      <c r="D285" s="308" t="s">
        <v>107</v>
      </c>
      <c r="E285" s="308"/>
      <c r="F285" s="308"/>
      <c r="G285" s="308"/>
      <c r="H285" s="308"/>
      <c r="I285" s="282" t="s">
        <v>508</v>
      </c>
      <c r="J285" s="312" t="s">
        <v>362</v>
      </c>
      <c r="K285" s="284">
        <v>10000</v>
      </c>
      <c r="L285" s="306" t="s">
        <v>111</v>
      </c>
      <c r="M285" s="261" t="s">
        <v>509</v>
      </c>
      <c r="N285" s="172"/>
      <c r="O285" s="132"/>
      <c r="P285" s="132"/>
      <c r="Q285" s="132"/>
      <c r="R285" s="132"/>
      <c r="S285" s="132"/>
      <c r="T285" s="132"/>
      <c r="U285" s="132"/>
      <c r="V285" s="132"/>
      <c r="W285" s="132"/>
      <c r="X285" s="132"/>
      <c r="Y285" s="132"/>
      <c r="Z285" s="132"/>
      <c r="AA285" s="132"/>
      <c r="AB285" s="132"/>
      <c r="AC285" s="132"/>
      <c r="AD285" s="132"/>
      <c r="AE285" s="132"/>
      <c r="AF285" s="132"/>
      <c r="AG285" s="132"/>
      <c r="AH285" s="132"/>
      <c r="AI285" s="132"/>
      <c r="AJ285" s="132"/>
      <c r="AK285" s="132"/>
      <c r="AL285" s="132"/>
      <c r="AM285" s="132"/>
      <c r="AN285" s="132"/>
      <c r="AO285" s="132"/>
      <c r="AP285" s="132"/>
      <c r="AQ285" s="132"/>
      <c r="AR285" s="132"/>
      <c r="AS285" s="132"/>
      <c r="AT285" s="132"/>
      <c r="AU285" s="132"/>
      <c r="AV285" s="132"/>
      <c r="AW285" s="132"/>
      <c r="AX285" s="132"/>
      <c r="AY285" s="132"/>
      <c r="AZ285" s="132"/>
      <c r="BA285" s="132"/>
      <c r="BB285" s="132"/>
      <c r="BC285" s="132"/>
      <c r="BD285" s="132"/>
      <c r="BE285" s="132"/>
      <c r="BF285" s="132"/>
      <c r="BG285" s="132"/>
      <c r="BH285" s="132"/>
      <c r="BI285" s="132"/>
      <c r="BJ285" s="132"/>
      <c r="BK285" s="132"/>
      <c r="BL285" s="132"/>
      <c r="BM285" s="132"/>
      <c r="BN285" s="132"/>
      <c r="BO285" s="132"/>
    </row>
    <row r="286" spans="1:67" s="269" customFormat="1" ht="24" customHeight="1" x14ac:dyDescent="0.2">
      <c r="A286" s="163">
        <v>76</v>
      </c>
      <c r="B286" s="293" t="s">
        <v>510</v>
      </c>
      <c r="C286" s="294"/>
      <c r="D286" s="166" t="s">
        <v>107</v>
      </c>
      <c r="E286" s="166"/>
      <c r="F286" s="166"/>
      <c r="G286" s="166"/>
      <c r="H286" s="166" t="s">
        <v>164</v>
      </c>
      <c r="I286" s="276" t="s">
        <v>511</v>
      </c>
      <c r="J286" s="277" t="s">
        <v>362</v>
      </c>
      <c r="K286" s="278">
        <f>10000*70%</f>
        <v>7000</v>
      </c>
      <c r="L286" s="171" t="s">
        <v>111</v>
      </c>
      <c r="M286" s="171" t="s">
        <v>512</v>
      </c>
      <c r="N286" s="132"/>
      <c r="O286" s="132"/>
      <c r="P286" s="132"/>
      <c r="Q286" s="132"/>
      <c r="R286" s="132"/>
      <c r="S286" s="132"/>
      <c r="T286" s="132"/>
      <c r="U286" s="132"/>
      <c r="V286" s="132"/>
      <c r="W286" s="132"/>
      <c r="X286" s="132"/>
      <c r="Y286" s="132"/>
      <c r="Z286" s="132"/>
      <c r="AA286" s="132"/>
      <c r="AB286" s="132"/>
      <c r="AC286" s="132"/>
      <c r="AD286" s="132"/>
      <c r="AE286" s="132"/>
      <c r="AF286" s="132"/>
      <c r="AG286" s="132"/>
      <c r="AH286" s="132"/>
      <c r="AI286" s="132"/>
      <c r="AJ286" s="132"/>
      <c r="AK286" s="132"/>
      <c r="AL286" s="132"/>
      <c r="AM286" s="132"/>
      <c r="AN286" s="132"/>
      <c r="AO286" s="132"/>
      <c r="AP286" s="132"/>
      <c r="AQ286" s="132"/>
      <c r="AR286" s="132"/>
      <c r="AS286" s="132"/>
      <c r="AT286" s="132"/>
      <c r="AU286" s="132"/>
      <c r="AV286" s="132"/>
      <c r="AW286" s="132"/>
      <c r="AX286" s="132"/>
      <c r="AY286" s="132"/>
      <c r="AZ286" s="132"/>
      <c r="BA286" s="132"/>
      <c r="BB286" s="132"/>
      <c r="BC286" s="132"/>
      <c r="BD286" s="132"/>
      <c r="BE286" s="132"/>
      <c r="BF286" s="132"/>
      <c r="BG286" s="132"/>
      <c r="BH286" s="132"/>
      <c r="BI286" s="132"/>
      <c r="BJ286" s="132"/>
      <c r="BK286" s="132"/>
      <c r="BL286" s="132"/>
      <c r="BM286" s="132"/>
      <c r="BN286" s="132"/>
      <c r="BO286" s="132"/>
    </row>
    <row r="287" spans="1:67" s="269" customFormat="1" ht="24" customHeight="1" x14ac:dyDescent="0.2">
      <c r="A287" s="173"/>
      <c r="B287" s="288"/>
      <c r="C287" s="289"/>
      <c r="D287" s="176"/>
      <c r="E287" s="176"/>
      <c r="F287" s="176"/>
      <c r="G287" s="176"/>
      <c r="H287" s="176"/>
      <c r="I287" s="184" t="s">
        <v>513</v>
      </c>
      <c r="J287" s="272" t="s">
        <v>362</v>
      </c>
      <c r="K287" s="214">
        <f>10000*10%</f>
        <v>1000</v>
      </c>
      <c r="L287" s="181"/>
      <c r="M287" s="181"/>
      <c r="N287" s="132"/>
      <c r="O287" s="132"/>
      <c r="P287" s="132"/>
      <c r="Q287" s="132"/>
      <c r="R287" s="132"/>
      <c r="S287" s="132"/>
      <c r="T287" s="132"/>
      <c r="U287" s="132"/>
      <c r="V287" s="132"/>
      <c r="W287" s="132"/>
      <c r="X287" s="132"/>
      <c r="Y287" s="132"/>
      <c r="Z287" s="132"/>
      <c r="AA287" s="132"/>
      <c r="AB287" s="132"/>
      <c r="AC287" s="132"/>
      <c r="AD287" s="132"/>
      <c r="AE287" s="132"/>
      <c r="AF287" s="132"/>
      <c r="AG287" s="132"/>
      <c r="AH287" s="132"/>
      <c r="AI287" s="132"/>
      <c r="AJ287" s="132"/>
      <c r="AK287" s="132"/>
      <c r="AL287" s="132"/>
      <c r="AM287" s="132"/>
      <c r="AN287" s="132"/>
      <c r="AO287" s="132"/>
      <c r="AP287" s="132"/>
      <c r="AQ287" s="132"/>
      <c r="AR287" s="132"/>
      <c r="AS287" s="132"/>
      <c r="AT287" s="132"/>
      <c r="AU287" s="132"/>
      <c r="AV287" s="132"/>
      <c r="AW287" s="132"/>
      <c r="AX287" s="132"/>
      <c r="AY287" s="132"/>
      <c r="AZ287" s="132"/>
      <c r="BA287" s="132"/>
      <c r="BB287" s="132"/>
      <c r="BC287" s="132"/>
      <c r="BD287" s="132"/>
      <c r="BE287" s="132"/>
      <c r="BF287" s="132"/>
      <c r="BG287" s="132"/>
      <c r="BH287" s="132"/>
      <c r="BI287" s="132"/>
      <c r="BJ287" s="132"/>
      <c r="BK287" s="132"/>
      <c r="BL287" s="132"/>
      <c r="BM287" s="132"/>
      <c r="BN287" s="132"/>
      <c r="BO287" s="132"/>
    </row>
    <row r="288" spans="1:67" s="269" customFormat="1" ht="24" customHeight="1" x14ac:dyDescent="0.2">
      <c r="A288" s="173"/>
      <c r="B288" s="288"/>
      <c r="C288" s="289"/>
      <c r="D288" s="176"/>
      <c r="E288" s="176"/>
      <c r="F288" s="176"/>
      <c r="G288" s="176"/>
      <c r="H288" s="176"/>
      <c r="I288" s="184" t="s">
        <v>514</v>
      </c>
      <c r="J288" s="272" t="s">
        <v>362</v>
      </c>
      <c r="K288" s="214">
        <f t="shared" ref="K288:K289" si="5">10000*10%</f>
        <v>1000</v>
      </c>
      <c r="L288" s="181"/>
      <c r="M288" s="181"/>
      <c r="N288" s="132"/>
      <c r="O288" s="132"/>
      <c r="P288" s="132"/>
      <c r="Q288" s="132"/>
      <c r="R288" s="132"/>
      <c r="S288" s="132"/>
      <c r="T288" s="132"/>
      <c r="U288" s="132"/>
      <c r="V288" s="132"/>
      <c r="W288" s="132"/>
      <c r="X288" s="132"/>
      <c r="Y288" s="132"/>
      <c r="Z288" s="132"/>
      <c r="AA288" s="132"/>
      <c r="AB288" s="132"/>
      <c r="AC288" s="132"/>
      <c r="AD288" s="132"/>
      <c r="AE288" s="132"/>
      <c r="AF288" s="132"/>
      <c r="AG288" s="132"/>
      <c r="AH288" s="132"/>
      <c r="AI288" s="132"/>
      <c r="AJ288" s="132"/>
      <c r="AK288" s="132"/>
      <c r="AL288" s="132"/>
      <c r="AM288" s="132"/>
      <c r="AN288" s="132"/>
      <c r="AO288" s="132"/>
      <c r="AP288" s="132"/>
      <c r="AQ288" s="132"/>
      <c r="AR288" s="132"/>
      <c r="AS288" s="132"/>
      <c r="AT288" s="132"/>
      <c r="AU288" s="132"/>
      <c r="AV288" s="132"/>
      <c r="AW288" s="132"/>
      <c r="AX288" s="132"/>
      <c r="AY288" s="132"/>
      <c r="AZ288" s="132"/>
      <c r="BA288" s="132"/>
      <c r="BB288" s="132"/>
      <c r="BC288" s="132"/>
      <c r="BD288" s="132"/>
      <c r="BE288" s="132"/>
      <c r="BF288" s="132"/>
      <c r="BG288" s="132"/>
      <c r="BH288" s="132"/>
      <c r="BI288" s="132"/>
      <c r="BJ288" s="132"/>
      <c r="BK288" s="132"/>
      <c r="BL288" s="132"/>
      <c r="BM288" s="132"/>
      <c r="BN288" s="132"/>
      <c r="BO288" s="132"/>
    </row>
    <row r="289" spans="1:67" s="269" customFormat="1" ht="24" customHeight="1" x14ac:dyDescent="0.2">
      <c r="A289" s="173"/>
      <c r="B289" s="288"/>
      <c r="C289" s="289"/>
      <c r="D289" s="176"/>
      <c r="E289" s="176"/>
      <c r="F289" s="176"/>
      <c r="G289" s="176"/>
      <c r="H289" s="176"/>
      <c r="I289" s="184" t="s">
        <v>515</v>
      </c>
      <c r="J289" s="272" t="s">
        <v>362</v>
      </c>
      <c r="K289" s="214">
        <f t="shared" si="5"/>
        <v>1000</v>
      </c>
      <c r="L289" s="181"/>
      <c r="M289" s="181"/>
      <c r="N289" s="132"/>
      <c r="O289" s="132"/>
      <c r="P289" s="132"/>
      <c r="Q289" s="132"/>
      <c r="R289" s="132"/>
      <c r="S289" s="132"/>
      <c r="T289" s="132"/>
      <c r="U289" s="132"/>
      <c r="V289" s="132"/>
      <c r="W289" s="132"/>
      <c r="X289" s="132"/>
      <c r="Y289" s="132"/>
      <c r="Z289" s="132"/>
      <c r="AA289" s="132"/>
      <c r="AB289" s="132"/>
      <c r="AC289" s="132"/>
      <c r="AD289" s="132"/>
      <c r="AE289" s="132"/>
      <c r="AF289" s="132"/>
      <c r="AG289" s="132"/>
      <c r="AH289" s="132"/>
      <c r="AI289" s="132"/>
      <c r="AJ289" s="132"/>
      <c r="AK289" s="132"/>
      <c r="AL289" s="132"/>
      <c r="AM289" s="132"/>
      <c r="AN289" s="132"/>
      <c r="AO289" s="132"/>
      <c r="AP289" s="132"/>
      <c r="AQ289" s="132"/>
      <c r="AR289" s="132"/>
      <c r="AS289" s="132"/>
      <c r="AT289" s="132"/>
      <c r="AU289" s="132"/>
      <c r="AV289" s="132"/>
      <c r="AW289" s="132"/>
      <c r="AX289" s="132"/>
      <c r="AY289" s="132"/>
      <c r="AZ289" s="132"/>
      <c r="BA289" s="132"/>
      <c r="BB289" s="132"/>
      <c r="BC289" s="132"/>
      <c r="BD289" s="132"/>
      <c r="BE289" s="132"/>
      <c r="BF289" s="132"/>
      <c r="BG289" s="132"/>
      <c r="BH289" s="132"/>
      <c r="BI289" s="132"/>
      <c r="BJ289" s="132"/>
      <c r="BK289" s="132"/>
      <c r="BL289" s="132"/>
      <c r="BM289" s="132"/>
      <c r="BN289" s="132"/>
      <c r="BO289" s="132"/>
    </row>
    <row r="290" spans="1:67" s="269" customFormat="1" ht="24" customHeight="1" x14ac:dyDescent="0.2">
      <c r="A290" s="185"/>
      <c r="B290" s="298"/>
      <c r="C290" s="299"/>
      <c r="D290" s="188"/>
      <c r="E290" s="188"/>
      <c r="F290" s="188"/>
      <c r="G290" s="188"/>
      <c r="H290" s="188"/>
      <c r="I290" s="177"/>
      <c r="J290" s="300"/>
      <c r="K290" s="196">
        <f>SUM(K286:K289)</f>
        <v>10000</v>
      </c>
      <c r="L290" s="193"/>
      <c r="M290" s="193"/>
      <c r="N290" s="132"/>
      <c r="O290" s="132"/>
      <c r="P290" s="132"/>
      <c r="Q290" s="132"/>
      <c r="R290" s="132"/>
      <c r="S290" s="132"/>
      <c r="T290" s="132"/>
      <c r="U290" s="132"/>
      <c r="V290" s="132"/>
      <c r="W290" s="132"/>
      <c r="X290" s="132"/>
      <c r="Y290" s="132"/>
      <c r="Z290" s="132"/>
      <c r="AA290" s="132"/>
      <c r="AB290" s="132"/>
      <c r="AC290" s="132"/>
      <c r="AD290" s="132"/>
      <c r="AE290" s="132"/>
      <c r="AF290" s="132"/>
      <c r="AG290" s="132"/>
      <c r="AH290" s="132"/>
      <c r="AI290" s="132"/>
      <c r="AJ290" s="132"/>
      <c r="AK290" s="132"/>
      <c r="AL290" s="132"/>
      <c r="AM290" s="132"/>
      <c r="AN290" s="132"/>
      <c r="AO290" s="132"/>
      <c r="AP290" s="132"/>
      <c r="AQ290" s="132"/>
      <c r="AR290" s="132"/>
      <c r="AS290" s="132"/>
      <c r="AT290" s="132"/>
      <c r="AU290" s="132"/>
      <c r="AV290" s="132"/>
      <c r="AW290" s="132"/>
      <c r="AX290" s="132"/>
      <c r="AY290" s="132"/>
      <c r="AZ290" s="132"/>
      <c r="BA290" s="132"/>
      <c r="BB290" s="132"/>
      <c r="BC290" s="132"/>
      <c r="BD290" s="132"/>
      <c r="BE290" s="132"/>
      <c r="BF290" s="132"/>
      <c r="BG290" s="132"/>
      <c r="BH290" s="132"/>
      <c r="BI290" s="132"/>
      <c r="BJ290" s="132"/>
      <c r="BK290" s="132"/>
      <c r="BL290" s="132"/>
      <c r="BM290" s="132"/>
      <c r="BN290" s="132"/>
      <c r="BO290" s="132"/>
    </row>
    <row r="291" spans="1:67" ht="24" customHeight="1" x14ac:dyDescent="0.2">
      <c r="A291" s="163">
        <v>77</v>
      </c>
      <c r="B291" s="164" t="s">
        <v>516</v>
      </c>
      <c r="C291" s="165"/>
      <c r="D291" s="166" t="s">
        <v>107</v>
      </c>
      <c r="E291" s="166"/>
      <c r="F291" s="166"/>
      <c r="G291" s="166"/>
      <c r="H291" s="166" t="s">
        <v>137</v>
      </c>
      <c r="I291" s="217" t="s">
        <v>517</v>
      </c>
      <c r="J291" s="194" t="s">
        <v>247</v>
      </c>
      <c r="K291" s="313">
        <f>K294*90%</f>
        <v>3600</v>
      </c>
      <c r="L291" s="195" t="s">
        <v>111</v>
      </c>
      <c r="M291" s="171" t="s">
        <v>518</v>
      </c>
    </row>
    <row r="292" spans="1:67" ht="24" customHeight="1" x14ac:dyDescent="0.2">
      <c r="A292" s="173"/>
      <c r="B292" s="174"/>
      <c r="C292" s="175"/>
      <c r="D292" s="176"/>
      <c r="E292" s="176"/>
      <c r="F292" s="176"/>
      <c r="G292" s="176"/>
      <c r="H292" s="176"/>
      <c r="I292" s="184" t="s">
        <v>180</v>
      </c>
      <c r="J292" s="168" t="s">
        <v>247</v>
      </c>
      <c r="K292" s="196">
        <f>K294*5%</f>
        <v>200</v>
      </c>
      <c r="L292" s="197"/>
      <c r="M292" s="181"/>
    </row>
    <row r="293" spans="1:67" ht="24" customHeight="1" x14ac:dyDescent="0.2">
      <c r="A293" s="173"/>
      <c r="B293" s="174"/>
      <c r="C293" s="175"/>
      <c r="D293" s="176"/>
      <c r="E293" s="176"/>
      <c r="F293" s="176"/>
      <c r="G293" s="176"/>
      <c r="H293" s="176"/>
      <c r="I293" s="167" t="s">
        <v>519</v>
      </c>
      <c r="J293" s="183" t="s">
        <v>399</v>
      </c>
      <c r="K293" s="200">
        <f>K294*5%</f>
        <v>200</v>
      </c>
      <c r="L293" s="197"/>
      <c r="M293" s="181"/>
    </row>
    <row r="294" spans="1:67" ht="24" customHeight="1" x14ac:dyDescent="0.2">
      <c r="A294" s="185"/>
      <c r="B294" s="186"/>
      <c r="C294" s="187"/>
      <c r="D294" s="188"/>
      <c r="E294" s="188"/>
      <c r="F294" s="188"/>
      <c r="G294" s="188"/>
      <c r="H294" s="188"/>
      <c r="I294" s="202"/>
      <c r="J294" s="190"/>
      <c r="K294" s="211">
        <v>4000</v>
      </c>
      <c r="L294" s="205"/>
      <c r="M294" s="193"/>
    </row>
    <row r="295" spans="1:67" ht="23.25" customHeight="1" x14ac:dyDescent="0.2">
      <c r="A295" s="163">
        <v>78</v>
      </c>
      <c r="B295" s="164" t="s">
        <v>520</v>
      </c>
      <c r="C295" s="165"/>
      <c r="D295" s="166" t="s">
        <v>107</v>
      </c>
      <c r="E295" s="166"/>
      <c r="F295" s="166"/>
      <c r="G295" s="166"/>
      <c r="H295" s="166"/>
      <c r="I295" s="167" t="s">
        <v>521</v>
      </c>
      <c r="J295" s="194" t="s">
        <v>247</v>
      </c>
      <c r="K295" s="169">
        <f>4000*70%</f>
        <v>2800</v>
      </c>
      <c r="L295" s="170" t="s">
        <v>111</v>
      </c>
      <c r="M295" s="171" t="s">
        <v>522</v>
      </c>
    </row>
    <row r="296" spans="1:67" ht="23.25" customHeight="1" x14ac:dyDescent="0.2">
      <c r="A296" s="173"/>
      <c r="B296" s="174"/>
      <c r="C296" s="175"/>
      <c r="D296" s="176"/>
      <c r="E296" s="176"/>
      <c r="F296" s="176"/>
      <c r="G296" s="176"/>
      <c r="H296" s="176"/>
      <c r="I296" s="177" t="s">
        <v>523</v>
      </c>
      <c r="J296" s="168" t="s">
        <v>247</v>
      </c>
      <c r="K296" s="230">
        <f>4000*10%</f>
        <v>400</v>
      </c>
      <c r="L296" s="180"/>
      <c r="M296" s="181"/>
    </row>
    <row r="297" spans="1:67" ht="23.25" customHeight="1" x14ac:dyDescent="0.2">
      <c r="A297" s="173"/>
      <c r="B297" s="174"/>
      <c r="C297" s="175"/>
      <c r="D297" s="176"/>
      <c r="E297" s="176"/>
      <c r="F297" s="176"/>
      <c r="G297" s="176"/>
      <c r="H297" s="176"/>
      <c r="I297" s="177" t="s">
        <v>524</v>
      </c>
      <c r="J297" s="183" t="s">
        <v>247</v>
      </c>
      <c r="K297" s="201">
        <f>4000*10%</f>
        <v>400</v>
      </c>
      <c r="L297" s="180"/>
      <c r="M297" s="181"/>
    </row>
    <row r="298" spans="1:67" ht="23.25" customHeight="1" x14ac:dyDescent="0.2">
      <c r="A298" s="173"/>
      <c r="B298" s="174"/>
      <c r="C298" s="175"/>
      <c r="D298" s="176"/>
      <c r="E298" s="176"/>
      <c r="F298" s="176"/>
      <c r="G298" s="176"/>
      <c r="H298" s="176"/>
      <c r="I298" s="184" t="s">
        <v>525</v>
      </c>
      <c r="J298" s="178" t="s">
        <v>399</v>
      </c>
      <c r="K298" s="208">
        <f>4000*10%</f>
        <v>400</v>
      </c>
      <c r="L298" s="180"/>
      <c r="M298" s="181"/>
    </row>
    <row r="299" spans="1:67" ht="23.25" customHeight="1" x14ac:dyDescent="0.2">
      <c r="A299" s="185"/>
      <c r="B299" s="186"/>
      <c r="C299" s="187"/>
      <c r="D299" s="188"/>
      <c r="E299" s="188"/>
      <c r="F299" s="188"/>
      <c r="G299" s="188"/>
      <c r="H299" s="188"/>
      <c r="I299" s="189"/>
      <c r="J299" s="190"/>
      <c r="K299" s="209">
        <f>SUM(K295:K298)</f>
        <v>4000</v>
      </c>
      <c r="L299" s="192"/>
      <c r="M299" s="193"/>
    </row>
    <row r="300" spans="1:67" x14ac:dyDescent="0.2">
      <c r="A300" s="163">
        <v>79</v>
      </c>
      <c r="B300" s="164" t="s">
        <v>526</v>
      </c>
      <c r="C300" s="165"/>
      <c r="D300" s="166" t="s">
        <v>107</v>
      </c>
      <c r="E300" s="166"/>
      <c r="F300" s="166"/>
      <c r="G300" s="166"/>
      <c r="H300" s="166"/>
      <c r="I300" s="167" t="s">
        <v>527</v>
      </c>
      <c r="J300" s="168" t="s">
        <v>399</v>
      </c>
      <c r="K300" s="169">
        <f>4800*60%</f>
        <v>2880</v>
      </c>
      <c r="L300" s="195" t="s">
        <v>111</v>
      </c>
      <c r="M300" s="171" t="s">
        <v>528</v>
      </c>
    </row>
    <row r="301" spans="1:67" x14ac:dyDescent="0.2">
      <c r="A301" s="173"/>
      <c r="B301" s="174"/>
      <c r="C301" s="175"/>
      <c r="D301" s="176"/>
      <c r="E301" s="176"/>
      <c r="F301" s="176"/>
      <c r="G301" s="176"/>
      <c r="H301" s="176"/>
      <c r="I301" s="184" t="s">
        <v>529</v>
      </c>
      <c r="J301" s="178" t="s">
        <v>399</v>
      </c>
      <c r="K301" s="179">
        <f>4800*40%</f>
        <v>1920</v>
      </c>
      <c r="L301" s="197"/>
      <c r="M301" s="181"/>
    </row>
    <row r="302" spans="1:67" x14ac:dyDescent="0.2">
      <c r="A302" s="185"/>
      <c r="B302" s="186"/>
      <c r="C302" s="187"/>
      <c r="D302" s="188"/>
      <c r="E302" s="188"/>
      <c r="F302" s="188"/>
      <c r="G302" s="188"/>
      <c r="H302" s="188"/>
      <c r="I302" s="202"/>
      <c r="J302" s="215"/>
      <c r="K302" s="204">
        <f>SUM(K300:K301)</f>
        <v>4800</v>
      </c>
      <c r="L302" s="205"/>
      <c r="M302" s="193"/>
    </row>
    <row r="303" spans="1:67" x14ac:dyDescent="0.2">
      <c r="A303" s="163">
        <v>80</v>
      </c>
      <c r="B303" s="164" t="s">
        <v>530</v>
      </c>
      <c r="C303" s="165"/>
      <c r="D303" s="166" t="s">
        <v>107</v>
      </c>
      <c r="E303" s="166"/>
      <c r="F303" s="166"/>
      <c r="G303" s="166"/>
      <c r="H303" s="166"/>
      <c r="I303" s="167" t="s">
        <v>527</v>
      </c>
      <c r="J303" s="168" t="s">
        <v>399</v>
      </c>
      <c r="K303" s="169">
        <f>4800*60%</f>
        <v>2880</v>
      </c>
      <c r="L303" s="195" t="s">
        <v>111</v>
      </c>
      <c r="M303" s="171" t="s">
        <v>531</v>
      </c>
    </row>
    <row r="304" spans="1:67" x14ac:dyDescent="0.2">
      <c r="A304" s="173"/>
      <c r="B304" s="174"/>
      <c r="C304" s="175"/>
      <c r="D304" s="176"/>
      <c r="E304" s="176"/>
      <c r="F304" s="176"/>
      <c r="G304" s="176"/>
      <c r="H304" s="176"/>
      <c r="I304" s="184" t="s">
        <v>529</v>
      </c>
      <c r="J304" s="183" t="s">
        <v>399</v>
      </c>
      <c r="K304" s="198">
        <f>4800*40%</f>
        <v>1920</v>
      </c>
      <c r="L304" s="197"/>
      <c r="M304" s="181"/>
    </row>
    <row r="305" spans="1:13" x14ac:dyDescent="0.2">
      <c r="A305" s="185"/>
      <c r="B305" s="186"/>
      <c r="C305" s="187"/>
      <c r="D305" s="188"/>
      <c r="E305" s="188"/>
      <c r="F305" s="188"/>
      <c r="G305" s="188"/>
      <c r="H305" s="188"/>
      <c r="I305" s="189"/>
      <c r="J305" s="190"/>
      <c r="K305" s="211">
        <f>SUM(K303:K304)</f>
        <v>4800</v>
      </c>
      <c r="L305" s="205"/>
      <c r="M305" s="193"/>
    </row>
    <row r="306" spans="1:13" ht="50.25" customHeight="1" x14ac:dyDescent="0.2">
      <c r="A306" s="305">
        <v>81</v>
      </c>
      <c r="B306" s="164" t="s">
        <v>532</v>
      </c>
      <c r="C306" s="165"/>
      <c r="D306" s="308" t="s">
        <v>107</v>
      </c>
      <c r="E306" s="308"/>
      <c r="F306" s="308"/>
      <c r="G306" s="308"/>
      <c r="H306" s="308"/>
      <c r="I306" s="167" t="s">
        <v>533</v>
      </c>
      <c r="J306" s="314" t="s">
        <v>399</v>
      </c>
      <c r="K306" s="169">
        <v>4800</v>
      </c>
      <c r="L306" s="306" t="s">
        <v>111</v>
      </c>
      <c r="M306" s="261" t="s">
        <v>534</v>
      </c>
    </row>
    <row r="307" spans="1:13" ht="23.25" customHeight="1" x14ac:dyDescent="0.2">
      <c r="A307" s="163">
        <v>82</v>
      </c>
      <c r="B307" s="164" t="s">
        <v>535</v>
      </c>
      <c r="C307" s="165"/>
      <c r="D307" s="166" t="s">
        <v>107</v>
      </c>
      <c r="E307" s="166"/>
      <c r="F307" s="166"/>
      <c r="G307" s="166"/>
      <c r="H307" s="166"/>
      <c r="I307" s="217" t="s">
        <v>536</v>
      </c>
      <c r="J307" s="194" t="s">
        <v>247</v>
      </c>
      <c r="K307" s="169">
        <f>5000*40%</f>
        <v>2000</v>
      </c>
      <c r="L307" s="170" t="s">
        <v>111</v>
      </c>
      <c r="M307" s="171" t="s">
        <v>537</v>
      </c>
    </row>
    <row r="308" spans="1:13" x14ac:dyDescent="0.2">
      <c r="A308" s="173"/>
      <c r="B308" s="174"/>
      <c r="C308" s="175"/>
      <c r="D308" s="176"/>
      <c r="E308" s="176"/>
      <c r="F308" s="176"/>
      <c r="G308" s="176"/>
      <c r="H308" s="176"/>
      <c r="I308" s="184" t="s">
        <v>538</v>
      </c>
      <c r="J308" s="207" t="s">
        <v>399</v>
      </c>
      <c r="K308" s="182">
        <f>5000*20%</f>
        <v>1000</v>
      </c>
      <c r="L308" s="180"/>
      <c r="M308" s="181"/>
    </row>
    <row r="309" spans="1:13" x14ac:dyDescent="0.2">
      <c r="A309" s="173"/>
      <c r="B309" s="174"/>
      <c r="C309" s="175"/>
      <c r="D309" s="176"/>
      <c r="E309" s="176"/>
      <c r="F309" s="176"/>
      <c r="G309" s="176"/>
      <c r="H309" s="176"/>
      <c r="I309" s="184" t="s">
        <v>539</v>
      </c>
      <c r="J309" s="207" t="s">
        <v>399</v>
      </c>
      <c r="K309" s="182">
        <f>5000*20%</f>
        <v>1000</v>
      </c>
      <c r="L309" s="180"/>
      <c r="M309" s="181"/>
    </row>
    <row r="310" spans="1:13" x14ac:dyDescent="0.2">
      <c r="A310" s="173"/>
      <c r="B310" s="174"/>
      <c r="C310" s="175"/>
      <c r="D310" s="176"/>
      <c r="E310" s="176"/>
      <c r="F310" s="176"/>
      <c r="G310" s="176"/>
      <c r="H310" s="176"/>
      <c r="I310" s="315" t="s">
        <v>540</v>
      </c>
      <c r="J310" s="207" t="s">
        <v>399</v>
      </c>
      <c r="K310" s="182">
        <f>5000*10%</f>
        <v>500</v>
      </c>
      <c r="L310" s="180"/>
      <c r="M310" s="181"/>
    </row>
    <row r="311" spans="1:13" x14ac:dyDescent="0.2">
      <c r="A311" s="173"/>
      <c r="B311" s="174"/>
      <c r="C311" s="175"/>
      <c r="D311" s="176"/>
      <c r="E311" s="176"/>
      <c r="F311" s="176"/>
      <c r="G311" s="176"/>
      <c r="H311" s="176"/>
      <c r="I311" s="316" t="s">
        <v>541</v>
      </c>
      <c r="J311" s="168" t="s">
        <v>399</v>
      </c>
      <c r="K311" s="182">
        <f>5000*10%</f>
        <v>500</v>
      </c>
      <c r="L311" s="180"/>
      <c r="M311" s="181"/>
    </row>
    <row r="312" spans="1:13" x14ac:dyDescent="0.2">
      <c r="A312" s="185"/>
      <c r="B312" s="186"/>
      <c r="C312" s="187"/>
      <c r="D312" s="188"/>
      <c r="E312" s="188"/>
      <c r="F312" s="188"/>
      <c r="G312" s="188"/>
      <c r="H312" s="188"/>
      <c r="I312" s="202"/>
      <c r="J312" s="190"/>
      <c r="K312" s="209">
        <f>SUM(K307:K311)</f>
        <v>5000</v>
      </c>
      <c r="L312" s="192"/>
      <c r="M312" s="193"/>
    </row>
    <row r="313" spans="1:13" ht="22.5" customHeight="1" x14ac:dyDescent="0.2">
      <c r="A313" s="317">
        <v>83</v>
      </c>
      <c r="B313" s="164" t="s">
        <v>542</v>
      </c>
      <c r="C313" s="165"/>
      <c r="D313" s="166" t="s">
        <v>107</v>
      </c>
      <c r="E313" s="166"/>
      <c r="F313" s="166"/>
      <c r="G313" s="166"/>
      <c r="H313" s="166"/>
      <c r="I313" s="217" t="s">
        <v>543</v>
      </c>
      <c r="J313" s="168" t="s">
        <v>399</v>
      </c>
      <c r="K313" s="169">
        <f>6300*20%</f>
        <v>1260</v>
      </c>
      <c r="L313" s="170" t="s">
        <v>111</v>
      </c>
      <c r="M313" s="171" t="s">
        <v>544</v>
      </c>
    </row>
    <row r="314" spans="1:13" x14ac:dyDescent="0.2">
      <c r="A314" s="318"/>
      <c r="B314" s="174"/>
      <c r="C314" s="175"/>
      <c r="D314" s="176"/>
      <c r="E314" s="176"/>
      <c r="F314" s="176"/>
      <c r="G314" s="176"/>
      <c r="H314" s="176"/>
      <c r="I314" s="167" t="s">
        <v>545</v>
      </c>
      <c r="J314" s="178" t="s">
        <v>399</v>
      </c>
      <c r="K314" s="179">
        <f>6300*15%</f>
        <v>945</v>
      </c>
      <c r="L314" s="180"/>
      <c r="M314" s="181"/>
    </row>
    <row r="315" spans="1:13" x14ac:dyDescent="0.2">
      <c r="A315" s="318"/>
      <c r="B315" s="174"/>
      <c r="C315" s="175"/>
      <c r="D315" s="176"/>
      <c r="E315" s="176"/>
      <c r="F315" s="176"/>
      <c r="G315" s="176"/>
      <c r="H315" s="176"/>
      <c r="I315" s="184" t="s">
        <v>546</v>
      </c>
      <c r="J315" s="178" t="s">
        <v>399</v>
      </c>
      <c r="K315" s="208">
        <f>6300*15%</f>
        <v>945</v>
      </c>
      <c r="L315" s="180"/>
      <c r="M315" s="181"/>
    </row>
    <row r="316" spans="1:13" x14ac:dyDescent="0.2">
      <c r="A316" s="318"/>
      <c r="B316" s="174"/>
      <c r="C316" s="175"/>
      <c r="D316" s="176"/>
      <c r="E316" s="176"/>
      <c r="F316" s="176"/>
      <c r="G316" s="176"/>
      <c r="H316" s="176"/>
      <c r="I316" s="167" t="s">
        <v>547</v>
      </c>
      <c r="J316" s="304" t="s">
        <v>399</v>
      </c>
      <c r="K316" s="201">
        <f>6300*50%</f>
        <v>3150</v>
      </c>
      <c r="L316" s="180"/>
      <c r="M316" s="181"/>
    </row>
    <row r="317" spans="1:13" x14ac:dyDescent="0.2">
      <c r="A317" s="319"/>
      <c r="B317" s="186"/>
      <c r="C317" s="187"/>
      <c r="D317" s="188"/>
      <c r="E317" s="188"/>
      <c r="F317" s="188"/>
      <c r="G317" s="188"/>
      <c r="H317" s="188"/>
      <c r="I317" s="202"/>
      <c r="J317" s="215"/>
      <c r="K317" s="216">
        <f>SUM(K313:K316)</f>
        <v>6300</v>
      </c>
      <c r="L317" s="192"/>
      <c r="M317" s="193"/>
    </row>
    <row r="318" spans="1:13" x14ac:dyDescent="0.2">
      <c r="A318" s="320">
        <v>84</v>
      </c>
      <c r="B318" s="321" t="s">
        <v>548</v>
      </c>
      <c r="C318" s="322"/>
      <c r="D318" s="307" t="s">
        <v>107</v>
      </c>
      <c r="E318" s="308"/>
      <c r="F318" s="308"/>
      <c r="G318" s="308"/>
      <c r="H318" s="308"/>
      <c r="I318" s="167" t="s">
        <v>549</v>
      </c>
      <c r="J318" s="283" t="s">
        <v>399</v>
      </c>
      <c r="K318" s="212">
        <v>4300</v>
      </c>
      <c r="L318" s="309" t="s">
        <v>111</v>
      </c>
      <c r="M318" s="261" t="s">
        <v>550</v>
      </c>
    </row>
    <row r="319" spans="1:13" x14ac:dyDescent="0.2">
      <c r="A319" s="317">
        <v>85</v>
      </c>
      <c r="B319" s="164" t="s">
        <v>551</v>
      </c>
      <c r="C319" s="165"/>
      <c r="D319" s="252" t="s">
        <v>107</v>
      </c>
      <c r="E319" s="166"/>
      <c r="F319" s="166"/>
      <c r="G319" s="166"/>
      <c r="H319" s="166"/>
      <c r="I319" s="217" t="s">
        <v>552</v>
      </c>
      <c r="J319" s="168" t="s">
        <v>399</v>
      </c>
      <c r="K319" s="169">
        <f>4800*50%</f>
        <v>2400</v>
      </c>
      <c r="L319" s="170" t="s">
        <v>111</v>
      </c>
      <c r="M319" s="171" t="s">
        <v>553</v>
      </c>
    </row>
    <row r="320" spans="1:13" x14ac:dyDescent="0.2">
      <c r="A320" s="318"/>
      <c r="B320" s="174"/>
      <c r="C320" s="175"/>
      <c r="D320" s="245"/>
      <c r="E320" s="176"/>
      <c r="F320" s="176"/>
      <c r="G320" s="176"/>
      <c r="H320" s="176"/>
      <c r="I320" s="184" t="s">
        <v>554</v>
      </c>
      <c r="J320" s="178" t="s">
        <v>399</v>
      </c>
      <c r="K320" s="208">
        <f>4800*25%</f>
        <v>1200</v>
      </c>
      <c r="L320" s="180"/>
      <c r="M320" s="181"/>
    </row>
    <row r="321" spans="1:13" x14ac:dyDescent="0.2">
      <c r="A321" s="318"/>
      <c r="B321" s="174"/>
      <c r="C321" s="175"/>
      <c r="D321" s="245"/>
      <c r="E321" s="176"/>
      <c r="F321" s="176"/>
      <c r="G321" s="176"/>
      <c r="H321" s="176"/>
      <c r="I321" s="167" t="s">
        <v>555</v>
      </c>
      <c r="J321" s="304" t="s">
        <v>556</v>
      </c>
      <c r="K321" s="208">
        <f>4800*25%</f>
        <v>1200</v>
      </c>
      <c r="L321" s="180"/>
      <c r="M321" s="181"/>
    </row>
    <row r="322" spans="1:13" x14ac:dyDescent="0.2">
      <c r="A322" s="319"/>
      <c r="B322" s="186"/>
      <c r="C322" s="187"/>
      <c r="D322" s="246"/>
      <c r="E322" s="188"/>
      <c r="F322" s="188"/>
      <c r="G322" s="188"/>
      <c r="H322" s="188"/>
      <c r="I322" s="202"/>
      <c r="J322" s="215"/>
      <c r="K322" s="209">
        <f>SUM(K319:K321)</f>
        <v>4800</v>
      </c>
      <c r="L322" s="192"/>
      <c r="M322" s="193"/>
    </row>
    <row r="323" spans="1:13" x14ac:dyDescent="0.2">
      <c r="A323" s="323">
        <v>86</v>
      </c>
      <c r="B323" s="164" t="s">
        <v>557</v>
      </c>
      <c r="C323" s="165"/>
      <c r="D323" s="252" t="s">
        <v>107</v>
      </c>
      <c r="E323" s="166"/>
      <c r="F323" s="166"/>
      <c r="G323" s="166"/>
      <c r="H323" s="166"/>
      <c r="I323" s="217" t="s">
        <v>558</v>
      </c>
      <c r="J323" s="194" t="s">
        <v>399</v>
      </c>
      <c r="K323" s="206">
        <f>4800*70%</f>
        <v>3360</v>
      </c>
      <c r="L323" s="170" t="s">
        <v>111</v>
      </c>
      <c r="M323" s="171" t="s">
        <v>559</v>
      </c>
    </row>
    <row r="324" spans="1:13" x14ac:dyDescent="0.2">
      <c r="A324" s="323"/>
      <c r="B324" s="174"/>
      <c r="C324" s="175"/>
      <c r="D324" s="245"/>
      <c r="E324" s="176"/>
      <c r="F324" s="176"/>
      <c r="G324" s="176"/>
      <c r="H324" s="176"/>
      <c r="I324" s="184" t="s">
        <v>560</v>
      </c>
      <c r="J324" s="168" t="s">
        <v>399</v>
      </c>
      <c r="K324" s="201">
        <f>4800*30%</f>
        <v>1440</v>
      </c>
      <c r="L324" s="180"/>
      <c r="M324" s="181"/>
    </row>
    <row r="325" spans="1:13" x14ac:dyDescent="0.2">
      <c r="A325" s="323"/>
      <c r="B325" s="186"/>
      <c r="C325" s="187"/>
      <c r="D325" s="246"/>
      <c r="E325" s="188"/>
      <c r="F325" s="188"/>
      <c r="G325" s="188"/>
      <c r="H325" s="188"/>
      <c r="I325" s="189"/>
      <c r="J325" s="190"/>
      <c r="K325" s="191">
        <f>SUM(K323:K324)</f>
        <v>4800</v>
      </c>
      <c r="L325" s="192"/>
      <c r="M325" s="193"/>
    </row>
    <row r="326" spans="1:13" x14ac:dyDescent="0.2">
      <c r="A326" s="324">
        <v>87</v>
      </c>
      <c r="B326" s="164" t="s">
        <v>561</v>
      </c>
      <c r="C326" s="165"/>
      <c r="D326" s="307" t="s">
        <v>107</v>
      </c>
      <c r="E326" s="308"/>
      <c r="F326" s="308"/>
      <c r="G326" s="308"/>
      <c r="H326" s="308"/>
      <c r="I326" s="282" t="s">
        <v>562</v>
      </c>
      <c r="J326" s="302" t="s">
        <v>399</v>
      </c>
      <c r="K326" s="169">
        <v>4800</v>
      </c>
      <c r="L326" s="309" t="s">
        <v>111</v>
      </c>
      <c r="M326" s="261" t="s">
        <v>563</v>
      </c>
    </row>
    <row r="327" spans="1:13" x14ac:dyDescent="0.2">
      <c r="A327" s="323">
        <v>88</v>
      </c>
      <c r="B327" s="321" t="s">
        <v>564</v>
      </c>
      <c r="C327" s="322"/>
      <c r="D327" s="252" t="s">
        <v>107</v>
      </c>
      <c r="E327" s="166"/>
      <c r="F327" s="166"/>
      <c r="G327" s="166"/>
      <c r="H327" s="166"/>
      <c r="I327" s="167" t="s">
        <v>565</v>
      </c>
      <c r="J327" s="168" t="s">
        <v>399</v>
      </c>
      <c r="K327" s="169">
        <f>5000*20%</f>
        <v>1000</v>
      </c>
      <c r="L327" s="170" t="s">
        <v>111</v>
      </c>
      <c r="M327" s="171" t="s">
        <v>566</v>
      </c>
    </row>
    <row r="328" spans="1:13" x14ac:dyDescent="0.2">
      <c r="A328" s="323"/>
      <c r="B328" s="325"/>
      <c r="C328" s="326"/>
      <c r="D328" s="245"/>
      <c r="E328" s="176"/>
      <c r="F328" s="176"/>
      <c r="G328" s="176"/>
      <c r="H328" s="176"/>
      <c r="I328" s="177" t="s">
        <v>567</v>
      </c>
      <c r="J328" s="178" t="s">
        <v>399</v>
      </c>
      <c r="K328" s="179">
        <f>5000*20%</f>
        <v>1000</v>
      </c>
      <c r="L328" s="180"/>
      <c r="M328" s="181"/>
    </row>
    <row r="329" spans="1:13" x14ac:dyDescent="0.2">
      <c r="A329" s="323"/>
      <c r="B329" s="325"/>
      <c r="C329" s="326"/>
      <c r="D329" s="245"/>
      <c r="E329" s="176"/>
      <c r="F329" s="176"/>
      <c r="G329" s="176"/>
      <c r="H329" s="176"/>
      <c r="I329" s="177" t="s">
        <v>568</v>
      </c>
      <c r="J329" s="304" t="s">
        <v>399</v>
      </c>
      <c r="K329" s="179">
        <f>5000*20%</f>
        <v>1000</v>
      </c>
      <c r="L329" s="180"/>
      <c r="M329" s="181"/>
    </row>
    <row r="330" spans="1:13" x14ac:dyDescent="0.2">
      <c r="A330" s="323"/>
      <c r="B330" s="325"/>
      <c r="C330" s="326"/>
      <c r="D330" s="245"/>
      <c r="E330" s="176"/>
      <c r="F330" s="176"/>
      <c r="G330" s="176"/>
      <c r="H330" s="176"/>
      <c r="I330" s="177" t="s">
        <v>569</v>
      </c>
      <c r="J330" s="168" t="s">
        <v>399</v>
      </c>
      <c r="K330" s="182">
        <f>5000*20%</f>
        <v>1000</v>
      </c>
      <c r="L330" s="180"/>
      <c r="M330" s="181"/>
    </row>
    <row r="331" spans="1:13" x14ac:dyDescent="0.2">
      <c r="A331" s="323"/>
      <c r="B331" s="325"/>
      <c r="C331" s="326"/>
      <c r="D331" s="245"/>
      <c r="E331" s="176"/>
      <c r="F331" s="176"/>
      <c r="G331" s="176"/>
      <c r="H331" s="176"/>
      <c r="I331" s="184" t="s">
        <v>570</v>
      </c>
      <c r="J331" s="178" t="s">
        <v>399</v>
      </c>
      <c r="K331" s="179">
        <f>5000*20%</f>
        <v>1000</v>
      </c>
      <c r="L331" s="180"/>
      <c r="M331" s="181"/>
    </row>
    <row r="332" spans="1:13" x14ac:dyDescent="0.2">
      <c r="A332" s="323"/>
      <c r="B332" s="327"/>
      <c r="C332" s="328"/>
      <c r="D332" s="246"/>
      <c r="E332" s="188"/>
      <c r="F332" s="188"/>
      <c r="G332" s="188"/>
      <c r="H332" s="188"/>
      <c r="I332" s="189"/>
      <c r="J332" s="215"/>
      <c r="K332" s="216">
        <f>SUM(K327:K331)</f>
        <v>5000</v>
      </c>
      <c r="L332" s="192"/>
      <c r="M332" s="193"/>
    </row>
    <row r="333" spans="1:13" x14ac:dyDescent="0.2">
      <c r="A333" s="317">
        <v>89</v>
      </c>
      <c r="B333" s="164" t="s">
        <v>571</v>
      </c>
      <c r="C333" s="165"/>
      <c r="D333" s="252" t="s">
        <v>107</v>
      </c>
      <c r="E333" s="166"/>
      <c r="F333" s="166"/>
      <c r="G333" s="166"/>
      <c r="H333" s="166"/>
      <c r="I333" s="167" t="s">
        <v>558</v>
      </c>
      <c r="J333" s="223" t="s">
        <v>399</v>
      </c>
      <c r="K333" s="212">
        <f>4800*70%</f>
        <v>3360</v>
      </c>
      <c r="L333" s="170" t="s">
        <v>111</v>
      </c>
      <c r="M333" s="171" t="s">
        <v>572</v>
      </c>
    </row>
    <row r="334" spans="1:13" x14ac:dyDescent="0.2">
      <c r="A334" s="318"/>
      <c r="B334" s="174"/>
      <c r="C334" s="175"/>
      <c r="D334" s="245"/>
      <c r="E334" s="176"/>
      <c r="F334" s="176"/>
      <c r="G334" s="176"/>
      <c r="H334" s="176"/>
      <c r="I334" s="177" t="s">
        <v>573</v>
      </c>
      <c r="J334" s="168" t="s">
        <v>399</v>
      </c>
      <c r="K334" s="201">
        <f>4800*30%</f>
        <v>1440</v>
      </c>
      <c r="L334" s="180"/>
      <c r="M334" s="181"/>
    </row>
    <row r="335" spans="1:13" x14ac:dyDescent="0.2">
      <c r="A335" s="319"/>
      <c r="B335" s="186"/>
      <c r="C335" s="187"/>
      <c r="D335" s="246"/>
      <c r="E335" s="188"/>
      <c r="F335" s="188"/>
      <c r="G335" s="188"/>
      <c r="H335" s="188"/>
      <c r="I335" s="202"/>
      <c r="J335" s="203"/>
      <c r="K335" s="216">
        <f>SUM(K333:K334)</f>
        <v>4800</v>
      </c>
      <c r="L335" s="192"/>
      <c r="M335" s="193"/>
    </row>
    <row r="336" spans="1:13" x14ac:dyDescent="0.2">
      <c r="A336" s="163">
        <v>90</v>
      </c>
      <c r="B336" s="164" t="s">
        <v>574</v>
      </c>
      <c r="C336" s="165"/>
      <c r="D336" s="166" t="s">
        <v>107</v>
      </c>
      <c r="E336" s="166"/>
      <c r="F336" s="166"/>
      <c r="G336" s="166"/>
      <c r="H336" s="166"/>
      <c r="I336" s="167" t="s">
        <v>575</v>
      </c>
      <c r="J336" s="168" t="s">
        <v>576</v>
      </c>
      <c r="K336" s="169">
        <f>10500*65%</f>
        <v>6825</v>
      </c>
      <c r="L336" s="170" t="s">
        <v>111</v>
      </c>
      <c r="M336" s="171" t="s">
        <v>577</v>
      </c>
    </row>
    <row r="337" spans="1:67" x14ac:dyDescent="0.2">
      <c r="A337" s="173"/>
      <c r="B337" s="174"/>
      <c r="C337" s="175"/>
      <c r="D337" s="176"/>
      <c r="E337" s="176"/>
      <c r="F337" s="176"/>
      <c r="G337" s="176"/>
      <c r="H337" s="176"/>
      <c r="I337" s="177" t="s">
        <v>578</v>
      </c>
      <c r="J337" s="183" t="s">
        <v>576</v>
      </c>
      <c r="K337" s="179">
        <f t="shared" ref="K337:K343" si="6">10500*5%</f>
        <v>525</v>
      </c>
      <c r="L337" s="180"/>
      <c r="M337" s="181"/>
    </row>
    <row r="338" spans="1:67" x14ac:dyDescent="0.2">
      <c r="A338" s="173"/>
      <c r="B338" s="174"/>
      <c r="C338" s="175"/>
      <c r="D338" s="176"/>
      <c r="E338" s="176"/>
      <c r="F338" s="176"/>
      <c r="G338" s="176"/>
      <c r="H338" s="176"/>
      <c r="I338" s="177" t="s">
        <v>579</v>
      </c>
      <c r="J338" s="178" t="s">
        <v>576</v>
      </c>
      <c r="K338" s="179">
        <f t="shared" si="6"/>
        <v>525</v>
      </c>
      <c r="L338" s="180"/>
      <c r="M338" s="181"/>
      <c r="N338" s="172"/>
    </row>
    <row r="339" spans="1:67" x14ac:dyDescent="0.2">
      <c r="A339" s="173"/>
      <c r="B339" s="174"/>
      <c r="C339" s="175"/>
      <c r="D339" s="176"/>
      <c r="E339" s="176"/>
      <c r="F339" s="176"/>
      <c r="G339" s="176"/>
      <c r="H339" s="176"/>
      <c r="I339" s="177" t="s">
        <v>580</v>
      </c>
      <c r="J339" s="168" t="s">
        <v>576</v>
      </c>
      <c r="K339" s="182">
        <f t="shared" si="6"/>
        <v>525</v>
      </c>
      <c r="L339" s="180"/>
      <c r="M339" s="181"/>
    </row>
    <row r="340" spans="1:67" x14ac:dyDescent="0.2">
      <c r="A340" s="173"/>
      <c r="B340" s="174"/>
      <c r="C340" s="175"/>
      <c r="D340" s="176"/>
      <c r="E340" s="176"/>
      <c r="F340" s="176"/>
      <c r="G340" s="176"/>
      <c r="H340" s="176"/>
      <c r="I340" s="184" t="s">
        <v>581</v>
      </c>
      <c r="J340" s="183" t="s">
        <v>576</v>
      </c>
      <c r="K340" s="179">
        <f t="shared" si="6"/>
        <v>525</v>
      </c>
      <c r="L340" s="180"/>
      <c r="M340" s="181"/>
    </row>
    <row r="341" spans="1:67" x14ac:dyDescent="0.2">
      <c r="A341" s="173"/>
      <c r="B341" s="174"/>
      <c r="C341" s="175"/>
      <c r="D341" s="176"/>
      <c r="E341" s="176"/>
      <c r="F341" s="176"/>
      <c r="G341" s="176"/>
      <c r="H341" s="176"/>
      <c r="I341" s="167" t="s">
        <v>582</v>
      </c>
      <c r="J341" s="207" t="s">
        <v>576</v>
      </c>
      <c r="K341" s="182">
        <f t="shared" si="6"/>
        <v>525</v>
      </c>
      <c r="L341" s="180"/>
      <c r="M341" s="181"/>
    </row>
    <row r="342" spans="1:67" x14ac:dyDescent="0.2">
      <c r="A342" s="173"/>
      <c r="B342" s="174"/>
      <c r="C342" s="175"/>
      <c r="D342" s="176"/>
      <c r="E342" s="176"/>
      <c r="F342" s="176"/>
      <c r="G342" s="176"/>
      <c r="H342" s="176"/>
      <c r="I342" s="184" t="s">
        <v>583</v>
      </c>
      <c r="J342" s="249" t="s">
        <v>576</v>
      </c>
      <c r="K342" s="230">
        <f t="shared" si="6"/>
        <v>525</v>
      </c>
      <c r="L342" s="180"/>
      <c r="M342" s="181"/>
    </row>
    <row r="343" spans="1:67" x14ac:dyDescent="0.2">
      <c r="A343" s="173"/>
      <c r="B343" s="174"/>
      <c r="C343" s="175"/>
      <c r="D343" s="176"/>
      <c r="E343" s="176"/>
      <c r="F343" s="176"/>
      <c r="G343" s="176"/>
      <c r="H343" s="176"/>
      <c r="I343" s="184" t="s">
        <v>584</v>
      </c>
      <c r="J343" s="168" t="s">
        <v>576</v>
      </c>
      <c r="K343" s="201">
        <f t="shared" si="6"/>
        <v>525</v>
      </c>
      <c r="L343" s="180"/>
      <c r="M343" s="181"/>
    </row>
    <row r="344" spans="1:67" x14ac:dyDescent="0.2">
      <c r="A344" s="185"/>
      <c r="B344" s="186"/>
      <c r="C344" s="187"/>
      <c r="D344" s="188"/>
      <c r="E344" s="188"/>
      <c r="F344" s="188"/>
      <c r="G344" s="188"/>
      <c r="H344" s="188"/>
      <c r="I344" s="189"/>
      <c r="J344" s="203"/>
      <c r="K344" s="216">
        <f>SUM(K336:K343)</f>
        <v>10500</v>
      </c>
      <c r="L344" s="192"/>
      <c r="M344" s="193"/>
    </row>
    <row r="345" spans="1:67" s="285" customFormat="1" ht="99.75" customHeight="1" x14ac:dyDescent="0.2">
      <c r="A345" s="329">
        <v>91</v>
      </c>
      <c r="B345" s="255" t="s">
        <v>585</v>
      </c>
      <c r="C345" s="256"/>
      <c r="D345" s="263" t="s">
        <v>25</v>
      </c>
      <c r="E345" s="263"/>
      <c r="F345" s="263"/>
      <c r="G345" s="263" t="s">
        <v>586</v>
      </c>
      <c r="H345" s="263"/>
      <c r="I345" s="189" t="s">
        <v>587</v>
      </c>
      <c r="J345" s="283" t="s">
        <v>576</v>
      </c>
      <c r="K345" s="330">
        <v>77320</v>
      </c>
      <c r="L345" s="253" t="s">
        <v>586</v>
      </c>
      <c r="M345" s="167" t="s">
        <v>588</v>
      </c>
      <c r="N345" s="132"/>
      <c r="O345" s="132"/>
      <c r="P345" s="132"/>
      <c r="Q345" s="132"/>
      <c r="R345" s="132"/>
      <c r="S345" s="132"/>
      <c r="T345" s="132"/>
      <c r="U345" s="132"/>
      <c r="V345" s="132"/>
      <c r="W345" s="132"/>
      <c r="X345" s="132"/>
      <c r="Y345" s="132"/>
      <c r="Z345" s="132"/>
      <c r="AA345" s="132"/>
      <c r="AB345" s="132"/>
      <c r="AC345" s="132"/>
      <c r="AD345" s="132"/>
      <c r="AE345" s="132"/>
      <c r="AF345" s="132"/>
      <c r="AG345" s="132"/>
      <c r="AH345" s="132"/>
      <c r="AI345" s="132"/>
      <c r="AJ345" s="132"/>
      <c r="AK345" s="132"/>
      <c r="AL345" s="132"/>
      <c r="AM345" s="132"/>
      <c r="AN345" s="132"/>
      <c r="AO345" s="132"/>
      <c r="AP345" s="132"/>
      <c r="AQ345" s="132"/>
      <c r="AR345" s="132"/>
      <c r="AS345" s="132"/>
      <c r="AT345" s="132"/>
      <c r="AU345" s="132"/>
      <c r="AV345" s="132"/>
      <c r="AW345" s="132"/>
      <c r="AX345" s="132"/>
      <c r="AY345" s="132"/>
      <c r="AZ345" s="132"/>
      <c r="BA345" s="132"/>
      <c r="BB345" s="132"/>
      <c r="BC345" s="132"/>
      <c r="BD345" s="132"/>
      <c r="BE345" s="132"/>
      <c r="BF345" s="132"/>
      <c r="BG345" s="132"/>
      <c r="BH345" s="132"/>
      <c r="BI345" s="132"/>
      <c r="BJ345" s="132"/>
      <c r="BK345" s="132"/>
      <c r="BL345" s="132"/>
      <c r="BM345" s="132"/>
      <c r="BN345" s="132"/>
      <c r="BO345" s="132"/>
    </row>
    <row r="346" spans="1:67" ht="51" customHeight="1" x14ac:dyDescent="0.2">
      <c r="A346" s="305">
        <v>92</v>
      </c>
      <c r="B346" s="164" t="s">
        <v>589</v>
      </c>
      <c r="C346" s="165"/>
      <c r="D346" s="308" t="s">
        <v>107</v>
      </c>
      <c r="E346" s="308"/>
      <c r="F346" s="308"/>
      <c r="G346" s="308"/>
      <c r="H346" s="308"/>
      <c r="I346" s="282" t="s">
        <v>590</v>
      </c>
      <c r="J346" s="302" t="s">
        <v>399</v>
      </c>
      <c r="K346" s="169">
        <f>4800*100%</f>
        <v>4800</v>
      </c>
      <c r="L346" s="309" t="s">
        <v>111</v>
      </c>
      <c r="M346" s="261" t="s">
        <v>591</v>
      </c>
    </row>
    <row r="347" spans="1:67" ht="51" customHeight="1" x14ac:dyDescent="0.2">
      <c r="A347" s="305">
        <v>93</v>
      </c>
      <c r="B347" s="164" t="s">
        <v>592</v>
      </c>
      <c r="C347" s="165"/>
      <c r="D347" s="308" t="s">
        <v>107</v>
      </c>
      <c r="E347" s="308"/>
      <c r="F347" s="308"/>
      <c r="G347" s="308"/>
      <c r="H347" s="308"/>
      <c r="I347" s="167" t="s">
        <v>593</v>
      </c>
      <c r="J347" s="302" t="s">
        <v>399</v>
      </c>
      <c r="K347" s="169">
        <f>4800*100%</f>
        <v>4800</v>
      </c>
      <c r="L347" s="309" t="s">
        <v>111</v>
      </c>
      <c r="M347" s="261" t="s">
        <v>594</v>
      </c>
    </row>
    <row r="348" spans="1:67" x14ac:dyDescent="0.2">
      <c r="A348" s="163">
        <v>94</v>
      </c>
      <c r="B348" s="164" t="s">
        <v>595</v>
      </c>
      <c r="C348" s="165"/>
      <c r="D348" s="166" t="s">
        <v>107</v>
      </c>
      <c r="E348" s="166"/>
      <c r="F348" s="166"/>
      <c r="G348" s="166"/>
      <c r="H348" s="166"/>
      <c r="I348" s="217" t="s">
        <v>596</v>
      </c>
      <c r="J348" s="168" t="s">
        <v>399</v>
      </c>
      <c r="K348" s="169">
        <f>4800*50%</f>
        <v>2400</v>
      </c>
      <c r="L348" s="170" t="s">
        <v>111</v>
      </c>
      <c r="M348" s="171" t="s">
        <v>597</v>
      </c>
    </row>
    <row r="349" spans="1:67" x14ac:dyDescent="0.2">
      <c r="A349" s="173"/>
      <c r="B349" s="174"/>
      <c r="C349" s="175"/>
      <c r="D349" s="176"/>
      <c r="E349" s="176"/>
      <c r="F349" s="176"/>
      <c r="G349" s="176"/>
      <c r="H349" s="176"/>
      <c r="I349" s="167" t="s">
        <v>598</v>
      </c>
      <c r="J349" s="178" t="s">
        <v>599</v>
      </c>
      <c r="K349" s="179">
        <f>4800*20%</f>
        <v>960</v>
      </c>
      <c r="L349" s="180"/>
      <c r="M349" s="181"/>
      <c r="N349" s="172"/>
    </row>
    <row r="350" spans="1:67" x14ac:dyDescent="0.2">
      <c r="A350" s="173"/>
      <c r="B350" s="174"/>
      <c r="C350" s="175"/>
      <c r="D350" s="176"/>
      <c r="E350" s="176"/>
      <c r="F350" s="176"/>
      <c r="G350" s="176"/>
      <c r="H350" s="176"/>
      <c r="I350" s="184" t="s">
        <v>600</v>
      </c>
      <c r="J350" s="168" t="s">
        <v>399</v>
      </c>
      <c r="K350" s="182">
        <f>4800*20%</f>
        <v>960</v>
      </c>
      <c r="L350" s="180"/>
      <c r="M350" s="181"/>
    </row>
    <row r="351" spans="1:67" x14ac:dyDescent="0.2">
      <c r="A351" s="173"/>
      <c r="B351" s="174"/>
      <c r="C351" s="175"/>
      <c r="D351" s="176"/>
      <c r="E351" s="176"/>
      <c r="F351" s="176"/>
      <c r="G351" s="176"/>
      <c r="H351" s="176"/>
      <c r="I351" s="167" t="s">
        <v>601</v>
      </c>
      <c r="J351" s="183" t="s">
        <v>556</v>
      </c>
      <c r="K351" s="179">
        <f>4800*10%</f>
        <v>480</v>
      </c>
      <c r="L351" s="180"/>
      <c r="M351" s="181"/>
      <c r="N351" s="172"/>
    </row>
    <row r="352" spans="1:67" x14ac:dyDescent="0.2">
      <c r="A352" s="185"/>
      <c r="B352" s="186"/>
      <c r="C352" s="187"/>
      <c r="D352" s="188"/>
      <c r="E352" s="188"/>
      <c r="F352" s="188"/>
      <c r="G352" s="188"/>
      <c r="H352" s="188"/>
      <c r="I352" s="202"/>
      <c r="J352" s="190"/>
      <c r="K352" s="191">
        <f>SUM(K348:K351)</f>
        <v>4800</v>
      </c>
      <c r="L352" s="192"/>
      <c r="M352" s="193"/>
    </row>
    <row r="353" spans="1:13" ht="48.75" customHeight="1" x14ac:dyDescent="0.2">
      <c r="A353" s="305">
        <v>95</v>
      </c>
      <c r="B353" s="164" t="s">
        <v>602</v>
      </c>
      <c r="C353" s="165"/>
      <c r="D353" s="308" t="s">
        <v>107</v>
      </c>
      <c r="E353" s="308"/>
      <c r="F353" s="308"/>
      <c r="G353" s="308"/>
      <c r="H353" s="308"/>
      <c r="I353" s="217" t="s">
        <v>603</v>
      </c>
      <c r="J353" s="283" t="s">
        <v>399</v>
      </c>
      <c r="K353" s="212">
        <f>4800*100%</f>
        <v>4800</v>
      </c>
      <c r="L353" s="309" t="s">
        <v>111</v>
      </c>
      <c r="M353" s="261" t="s">
        <v>604</v>
      </c>
    </row>
    <row r="354" spans="1:13" x14ac:dyDescent="0.2">
      <c r="A354" s="163">
        <v>96</v>
      </c>
      <c r="B354" s="164" t="s">
        <v>605</v>
      </c>
      <c r="C354" s="165"/>
      <c r="D354" s="166" t="s">
        <v>107</v>
      </c>
      <c r="E354" s="166"/>
      <c r="F354" s="166"/>
      <c r="G354" s="166"/>
      <c r="H354" s="166"/>
      <c r="I354" s="217" t="s">
        <v>606</v>
      </c>
      <c r="J354" s="168" t="s">
        <v>399</v>
      </c>
      <c r="K354" s="169">
        <f>5000*90%</f>
        <v>4500</v>
      </c>
      <c r="L354" s="170" t="s">
        <v>111</v>
      </c>
      <c r="M354" s="171" t="s">
        <v>607</v>
      </c>
    </row>
    <row r="355" spans="1:13" x14ac:dyDescent="0.2">
      <c r="A355" s="173"/>
      <c r="B355" s="174"/>
      <c r="C355" s="175"/>
      <c r="D355" s="176"/>
      <c r="E355" s="176"/>
      <c r="F355" s="176"/>
      <c r="G355" s="176"/>
      <c r="H355" s="176"/>
      <c r="I355" s="184" t="s">
        <v>608</v>
      </c>
      <c r="J355" s="178" t="s">
        <v>399</v>
      </c>
      <c r="K355" s="179">
        <f>5000*10%</f>
        <v>500</v>
      </c>
      <c r="L355" s="180"/>
      <c r="M355" s="181"/>
    </row>
    <row r="356" spans="1:13" x14ac:dyDescent="0.2">
      <c r="A356" s="185"/>
      <c r="B356" s="186"/>
      <c r="C356" s="187"/>
      <c r="D356" s="188"/>
      <c r="E356" s="188"/>
      <c r="F356" s="188"/>
      <c r="G356" s="188"/>
      <c r="H356" s="188"/>
      <c r="I356" s="189"/>
      <c r="J356" s="215"/>
      <c r="K356" s="216">
        <f>SUM(K354:K355)</f>
        <v>5000</v>
      </c>
      <c r="L356" s="192"/>
      <c r="M356" s="193"/>
    </row>
    <row r="357" spans="1:13" x14ac:dyDescent="0.2">
      <c r="A357" s="163">
        <v>97</v>
      </c>
      <c r="B357" s="164" t="s">
        <v>609</v>
      </c>
      <c r="C357" s="165"/>
      <c r="D357" s="166" t="s">
        <v>107</v>
      </c>
      <c r="E357" s="166"/>
      <c r="F357" s="166"/>
      <c r="G357" s="166"/>
      <c r="H357" s="166"/>
      <c r="I357" s="217" t="s">
        <v>610</v>
      </c>
      <c r="J357" s="168" t="s">
        <v>399</v>
      </c>
      <c r="K357" s="169">
        <f>4300*30%</f>
        <v>1290</v>
      </c>
      <c r="L357" s="170" t="s">
        <v>111</v>
      </c>
      <c r="M357" s="171" t="s">
        <v>611</v>
      </c>
    </row>
    <row r="358" spans="1:13" x14ac:dyDescent="0.2">
      <c r="A358" s="173"/>
      <c r="B358" s="174"/>
      <c r="C358" s="175"/>
      <c r="D358" s="176"/>
      <c r="E358" s="176"/>
      <c r="F358" s="176"/>
      <c r="G358" s="176"/>
      <c r="H358" s="176"/>
      <c r="I358" s="184" t="s">
        <v>612</v>
      </c>
      <c r="J358" s="178" t="s">
        <v>399</v>
      </c>
      <c r="K358" s="179">
        <f>4300*40%</f>
        <v>1720</v>
      </c>
      <c r="L358" s="180"/>
      <c r="M358" s="181"/>
    </row>
    <row r="359" spans="1:13" x14ac:dyDescent="0.2">
      <c r="A359" s="173"/>
      <c r="B359" s="174"/>
      <c r="C359" s="175"/>
      <c r="D359" s="176"/>
      <c r="E359" s="176"/>
      <c r="F359" s="176"/>
      <c r="G359" s="176"/>
      <c r="H359" s="176"/>
      <c r="I359" s="167" t="s">
        <v>613</v>
      </c>
      <c r="J359" s="304" t="s">
        <v>399</v>
      </c>
      <c r="K359" s="179">
        <f>4300*30%</f>
        <v>1290</v>
      </c>
      <c r="L359" s="180"/>
      <c r="M359" s="181"/>
    </row>
    <row r="360" spans="1:13" x14ac:dyDescent="0.2">
      <c r="A360" s="185"/>
      <c r="B360" s="186"/>
      <c r="C360" s="187"/>
      <c r="D360" s="188"/>
      <c r="E360" s="188"/>
      <c r="F360" s="188"/>
      <c r="G360" s="188"/>
      <c r="H360" s="188"/>
      <c r="I360" s="202"/>
      <c r="J360" s="215"/>
      <c r="K360" s="216">
        <f>SUM(K357:K359)</f>
        <v>4300</v>
      </c>
      <c r="L360" s="192"/>
      <c r="M360" s="193"/>
    </row>
    <row r="361" spans="1:13" x14ac:dyDescent="0.2">
      <c r="A361" s="163">
        <v>98</v>
      </c>
      <c r="B361" s="164" t="s">
        <v>614</v>
      </c>
      <c r="C361" s="165"/>
      <c r="D361" s="166" t="s">
        <v>107</v>
      </c>
      <c r="E361" s="166"/>
      <c r="F361" s="166"/>
      <c r="G361" s="166"/>
      <c r="H361" s="166"/>
      <c r="I361" s="167" t="s">
        <v>615</v>
      </c>
      <c r="J361" s="168" t="s">
        <v>399</v>
      </c>
      <c r="K361" s="169">
        <f>5000*40%</f>
        <v>2000</v>
      </c>
      <c r="L361" s="170" t="s">
        <v>111</v>
      </c>
      <c r="M361" s="171" t="s">
        <v>616</v>
      </c>
    </row>
    <row r="362" spans="1:13" x14ac:dyDescent="0.2">
      <c r="A362" s="173"/>
      <c r="B362" s="174"/>
      <c r="C362" s="175"/>
      <c r="D362" s="176"/>
      <c r="E362" s="176"/>
      <c r="F362" s="176"/>
      <c r="G362" s="176"/>
      <c r="H362" s="176"/>
      <c r="I362" s="177" t="s">
        <v>617</v>
      </c>
      <c r="J362" s="183" t="s">
        <v>399</v>
      </c>
      <c r="K362" s="179">
        <f>5000*50%</f>
        <v>2500</v>
      </c>
      <c r="L362" s="180"/>
      <c r="M362" s="181"/>
    </row>
    <row r="363" spans="1:13" x14ac:dyDescent="0.2">
      <c r="A363" s="173"/>
      <c r="B363" s="174"/>
      <c r="C363" s="175"/>
      <c r="D363" s="176"/>
      <c r="E363" s="176"/>
      <c r="F363" s="176"/>
      <c r="G363" s="176"/>
      <c r="H363" s="176"/>
      <c r="I363" s="184" t="s">
        <v>618</v>
      </c>
      <c r="J363" s="183" t="s">
        <v>399</v>
      </c>
      <c r="K363" s="208">
        <f>5000*10%</f>
        <v>500</v>
      </c>
      <c r="L363" s="180"/>
      <c r="M363" s="181"/>
    </row>
    <row r="364" spans="1:13" x14ac:dyDescent="0.2">
      <c r="A364" s="185"/>
      <c r="B364" s="186"/>
      <c r="C364" s="187"/>
      <c r="D364" s="188"/>
      <c r="E364" s="188"/>
      <c r="F364" s="188"/>
      <c r="G364" s="188"/>
      <c r="H364" s="188"/>
      <c r="I364" s="189"/>
      <c r="J364" s="190"/>
      <c r="K364" s="209">
        <f>SUM(K361:K363)</f>
        <v>5000</v>
      </c>
      <c r="L364" s="192"/>
      <c r="M364" s="193"/>
    </row>
    <row r="365" spans="1:13" x14ac:dyDescent="0.2">
      <c r="A365" s="305">
        <v>99</v>
      </c>
      <c r="B365" s="164" t="s">
        <v>619</v>
      </c>
      <c r="C365" s="165"/>
      <c r="D365" s="308" t="s">
        <v>107</v>
      </c>
      <c r="E365" s="308"/>
      <c r="F365" s="308"/>
      <c r="G365" s="308"/>
      <c r="H365" s="308"/>
      <c r="I365" s="282" t="s">
        <v>620</v>
      </c>
      <c r="J365" s="302" t="s">
        <v>399</v>
      </c>
      <c r="K365" s="169">
        <f>8000*100%</f>
        <v>8000</v>
      </c>
      <c r="L365" s="309" t="s">
        <v>111</v>
      </c>
      <c r="M365" s="261" t="s">
        <v>621</v>
      </c>
    </row>
    <row r="366" spans="1:13" x14ac:dyDescent="0.2">
      <c r="A366" s="163">
        <v>100</v>
      </c>
      <c r="B366" s="164" t="s">
        <v>622</v>
      </c>
      <c r="C366" s="165"/>
      <c r="D366" s="166" t="s">
        <v>107</v>
      </c>
      <c r="E366" s="166"/>
      <c r="F366" s="166"/>
      <c r="G366" s="166"/>
      <c r="H366" s="166"/>
      <c r="I366" s="167" t="s">
        <v>623</v>
      </c>
      <c r="J366" s="168" t="s">
        <v>399</v>
      </c>
      <c r="K366" s="169">
        <f>8000*80%</f>
        <v>6400</v>
      </c>
      <c r="L366" s="170" t="s">
        <v>111</v>
      </c>
      <c r="M366" s="171" t="s">
        <v>624</v>
      </c>
    </row>
    <row r="367" spans="1:13" x14ac:dyDescent="0.2">
      <c r="A367" s="173"/>
      <c r="B367" s="174"/>
      <c r="C367" s="175"/>
      <c r="D367" s="176"/>
      <c r="E367" s="176"/>
      <c r="F367" s="176"/>
      <c r="G367" s="176"/>
      <c r="H367" s="176"/>
      <c r="I367" s="184" t="s">
        <v>625</v>
      </c>
      <c r="J367" s="183" t="s">
        <v>399</v>
      </c>
      <c r="K367" s="179">
        <f>8000*5%</f>
        <v>400</v>
      </c>
      <c r="L367" s="180"/>
      <c r="M367" s="181"/>
    </row>
    <row r="368" spans="1:13" x14ac:dyDescent="0.2">
      <c r="A368" s="173"/>
      <c r="B368" s="174"/>
      <c r="C368" s="175"/>
      <c r="D368" s="176"/>
      <c r="E368" s="176"/>
      <c r="F368" s="176"/>
      <c r="G368" s="176"/>
      <c r="H368" s="176"/>
      <c r="I368" s="177" t="s">
        <v>626</v>
      </c>
      <c r="J368" s="183" t="s">
        <v>399</v>
      </c>
      <c r="K368" s="208">
        <f>8000*5%</f>
        <v>400</v>
      </c>
      <c r="L368" s="180"/>
      <c r="M368" s="181"/>
    </row>
    <row r="369" spans="1:14" x14ac:dyDescent="0.2">
      <c r="A369" s="173"/>
      <c r="B369" s="174"/>
      <c r="C369" s="175"/>
      <c r="D369" s="176"/>
      <c r="E369" s="176"/>
      <c r="F369" s="176"/>
      <c r="G369" s="176"/>
      <c r="H369" s="176"/>
      <c r="I369" s="177" t="s">
        <v>627</v>
      </c>
      <c r="J369" s="178" t="s">
        <v>399</v>
      </c>
      <c r="K369" s="201">
        <f>8000*5%</f>
        <v>400</v>
      </c>
      <c r="L369" s="180"/>
      <c r="M369" s="181"/>
    </row>
    <row r="370" spans="1:14" x14ac:dyDescent="0.2">
      <c r="A370" s="173"/>
      <c r="B370" s="174"/>
      <c r="C370" s="175"/>
      <c r="D370" s="176"/>
      <c r="E370" s="176"/>
      <c r="F370" s="176"/>
      <c r="G370" s="176"/>
      <c r="H370" s="176"/>
      <c r="I370" s="184" t="s">
        <v>628</v>
      </c>
      <c r="J370" s="168" t="s">
        <v>399</v>
      </c>
      <c r="K370" s="182">
        <f>8000*5%</f>
        <v>400</v>
      </c>
      <c r="L370" s="180"/>
      <c r="M370" s="181"/>
    </row>
    <row r="371" spans="1:14" x14ac:dyDescent="0.2">
      <c r="A371" s="185"/>
      <c r="B371" s="186"/>
      <c r="C371" s="187"/>
      <c r="D371" s="188"/>
      <c r="E371" s="188"/>
      <c r="F371" s="188"/>
      <c r="G371" s="188"/>
      <c r="H371" s="188"/>
      <c r="I371" s="202"/>
      <c r="J371" s="190"/>
      <c r="K371" s="191">
        <f>SUM(K366:K370)</f>
        <v>8000</v>
      </c>
      <c r="L371" s="192"/>
      <c r="M371" s="193"/>
    </row>
    <row r="372" spans="1:14" ht="68.25" customHeight="1" x14ac:dyDescent="0.2">
      <c r="A372" s="305">
        <v>101</v>
      </c>
      <c r="B372" s="164" t="s">
        <v>629</v>
      </c>
      <c r="C372" s="165"/>
      <c r="D372" s="308" t="s">
        <v>163</v>
      </c>
      <c r="E372" s="308"/>
      <c r="F372" s="308"/>
      <c r="G372" s="308"/>
      <c r="H372" s="331"/>
      <c r="I372" s="282" t="s">
        <v>630</v>
      </c>
      <c r="J372" s="302" t="s">
        <v>399</v>
      </c>
      <c r="K372" s="206">
        <f>100000*100%</f>
        <v>100000</v>
      </c>
      <c r="L372" s="309" t="s">
        <v>166</v>
      </c>
      <c r="M372" s="261" t="s">
        <v>631</v>
      </c>
    </row>
    <row r="373" spans="1:14" ht="51" customHeight="1" x14ac:dyDescent="0.2">
      <c r="A373" s="305">
        <v>102</v>
      </c>
      <c r="B373" s="164" t="s">
        <v>632</v>
      </c>
      <c r="C373" s="165"/>
      <c r="D373" s="308" t="s">
        <v>163</v>
      </c>
      <c r="E373" s="308"/>
      <c r="F373" s="308"/>
      <c r="G373" s="308"/>
      <c r="H373" s="308"/>
      <c r="I373" s="282" t="s">
        <v>633</v>
      </c>
      <c r="J373" s="168" t="s">
        <v>399</v>
      </c>
      <c r="K373" s="169">
        <f>200000*100%</f>
        <v>200000</v>
      </c>
      <c r="L373" s="309" t="s">
        <v>166</v>
      </c>
      <c r="M373" s="261" t="s">
        <v>634</v>
      </c>
    </row>
    <row r="374" spans="1:14" x14ac:dyDescent="0.2">
      <c r="A374" s="163">
        <v>103</v>
      </c>
      <c r="B374" s="164" t="s">
        <v>635</v>
      </c>
      <c r="C374" s="165"/>
      <c r="D374" s="166" t="s">
        <v>163</v>
      </c>
      <c r="E374" s="166"/>
      <c r="F374" s="166"/>
      <c r="G374" s="166"/>
      <c r="H374" s="166"/>
      <c r="I374" s="167" t="s">
        <v>636</v>
      </c>
      <c r="J374" s="194" t="s">
        <v>399</v>
      </c>
      <c r="K374" s="169">
        <f>88132*55%</f>
        <v>48472.600000000006</v>
      </c>
      <c r="L374" s="170" t="s">
        <v>166</v>
      </c>
      <c r="M374" s="171" t="s">
        <v>637</v>
      </c>
    </row>
    <row r="375" spans="1:14" x14ac:dyDescent="0.2">
      <c r="A375" s="173"/>
      <c r="B375" s="174"/>
      <c r="C375" s="175"/>
      <c r="D375" s="176"/>
      <c r="E375" s="176"/>
      <c r="F375" s="176"/>
      <c r="G375" s="176"/>
      <c r="H375" s="176"/>
      <c r="I375" s="184" t="s">
        <v>638</v>
      </c>
      <c r="J375" s="168" t="s">
        <v>399</v>
      </c>
      <c r="K375" s="230">
        <f>88132*15%</f>
        <v>13219.8</v>
      </c>
      <c r="L375" s="180"/>
      <c r="M375" s="181"/>
    </row>
    <row r="376" spans="1:14" x14ac:dyDescent="0.2">
      <c r="A376" s="173"/>
      <c r="B376" s="174"/>
      <c r="C376" s="175"/>
      <c r="D376" s="176"/>
      <c r="E376" s="176"/>
      <c r="F376" s="176"/>
      <c r="G376" s="176"/>
      <c r="H376" s="176"/>
      <c r="I376" s="177" t="s">
        <v>639</v>
      </c>
      <c r="J376" s="178" t="s">
        <v>599</v>
      </c>
      <c r="K376" s="201">
        <f>88132*15%</f>
        <v>13219.8</v>
      </c>
      <c r="L376" s="180"/>
      <c r="M376" s="181"/>
    </row>
    <row r="377" spans="1:14" x14ac:dyDescent="0.2">
      <c r="A377" s="173"/>
      <c r="B377" s="174"/>
      <c r="C377" s="175"/>
      <c r="D377" s="176"/>
      <c r="E377" s="176"/>
      <c r="F377" s="176"/>
      <c r="G377" s="176"/>
      <c r="H377" s="176"/>
      <c r="I377" s="184" t="s">
        <v>640</v>
      </c>
      <c r="J377" s="168" t="s">
        <v>641</v>
      </c>
      <c r="K377" s="182">
        <f>88132*15%</f>
        <v>13219.8</v>
      </c>
      <c r="L377" s="180"/>
      <c r="M377" s="181"/>
      <c r="N377" s="172"/>
    </row>
    <row r="378" spans="1:14" x14ac:dyDescent="0.2">
      <c r="A378" s="185"/>
      <c r="B378" s="186"/>
      <c r="C378" s="187"/>
      <c r="D378" s="188"/>
      <c r="E378" s="188"/>
      <c r="F378" s="188"/>
      <c r="G378" s="188"/>
      <c r="H378" s="188"/>
      <c r="I378" s="202"/>
      <c r="J378" s="190"/>
      <c r="K378" s="191">
        <f>SUM(K374:K377)</f>
        <v>88132.000000000015</v>
      </c>
      <c r="L378" s="192"/>
      <c r="M378" s="193"/>
    </row>
    <row r="379" spans="1:14" ht="75.75" customHeight="1" x14ac:dyDescent="0.2">
      <c r="A379" s="305">
        <v>104</v>
      </c>
      <c r="B379" s="164" t="s">
        <v>642</v>
      </c>
      <c r="C379" s="165"/>
      <c r="D379" s="308" t="s">
        <v>163</v>
      </c>
      <c r="E379" s="308"/>
      <c r="F379" s="308"/>
      <c r="G379" s="308"/>
      <c r="H379" s="308"/>
      <c r="I379" s="282" t="s">
        <v>643</v>
      </c>
      <c r="J379" s="302" t="s">
        <v>399</v>
      </c>
      <c r="K379" s="169">
        <f>278721*100%</f>
        <v>278721</v>
      </c>
      <c r="L379" s="309" t="s">
        <v>166</v>
      </c>
      <c r="M379" s="261" t="s">
        <v>644</v>
      </c>
    </row>
    <row r="380" spans="1:14" x14ac:dyDescent="0.2">
      <c r="A380" s="163">
        <v>105</v>
      </c>
      <c r="B380" s="164" t="s">
        <v>645</v>
      </c>
      <c r="C380" s="165"/>
      <c r="D380" s="166" t="s">
        <v>163</v>
      </c>
      <c r="E380" s="166"/>
      <c r="F380" s="166"/>
      <c r="G380" s="166"/>
      <c r="H380" s="166"/>
      <c r="I380" s="167" t="s">
        <v>646</v>
      </c>
      <c r="J380" s="168" t="s">
        <v>399</v>
      </c>
      <c r="K380" s="169">
        <f>255975*85%</f>
        <v>217578.75</v>
      </c>
      <c r="L380" s="170" t="s">
        <v>166</v>
      </c>
      <c r="M380" s="171" t="s">
        <v>647</v>
      </c>
    </row>
    <row r="381" spans="1:14" x14ac:dyDescent="0.2">
      <c r="A381" s="173"/>
      <c r="B381" s="174"/>
      <c r="C381" s="175"/>
      <c r="D381" s="176"/>
      <c r="E381" s="176"/>
      <c r="F381" s="176"/>
      <c r="G381" s="176"/>
      <c r="H381" s="176"/>
      <c r="I381" s="177" t="s">
        <v>648</v>
      </c>
      <c r="J381" s="178" t="s">
        <v>399</v>
      </c>
      <c r="K381" s="179">
        <f>255975*5%</f>
        <v>12798.75</v>
      </c>
      <c r="L381" s="180"/>
      <c r="M381" s="181"/>
    </row>
    <row r="382" spans="1:14" x14ac:dyDescent="0.2">
      <c r="A382" s="173"/>
      <c r="B382" s="174"/>
      <c r="C382" s="175"/>
      <c r="D382" s="176"/>
      <c r="E382" s="176"/>
      <c r="F382" s="176"/>
      <c r="G382" s="176"/>
      <c r="H382" s="176"/>
      <c r="I382" s="177" t="s">
        <v>649</v>
      </c>
      <c r="J382" s="178" t="s">
        <v>399</v>
      </c>
      <c r="K382" s="179">
        <f>255975*5%</f>
        <v>12798.75</v>
      </c>
      <c r="L382" s="180"/>
      <c r="M382" s="181"/>
    </row>
    <row r="383" spans="1:14" x14ac:dyDescent="0.2">
      <c r="A383" s="173"/>
      <c r="B383" s="174"/>
      <c r="C383" s="175"/>
      <c r="D383" s="176"/>
      <c r="E383" s="176"/>
      <c r="F383" s="176"/>
      <c r="G383" s="176"/>
      <c r="H383" s="176"/>
      <c r="I383" s="184" t="s">
        <v>650</v>
      </c>
      <c r="J383" s="168" t="s">
        <v>599</v>
      </c>
      <c r="K383" s="230">
        <f>255975*5%</f>
        <v>12798.75</v>
      </c>
      <c r="L383" s="180"/>
      <c r="M383" s="181"/>
    </row>
    <row r="384" spans="1:14" x14ac:dyDescent="0.2">
      <c r="A384" s="185"/>
      <c r="B384" s="186"/>
      <c r="C384" s="187"/>
      <c r="D384" s="188"/>
      <c r="E384" s="188"/>
      <c r="F384" s="188"/>
      <c r="G384" s="188"/>
      <c r="H384" s="188"/>
      <c r="I384" s="189"/>
      <c r="J384" s="190"/>
      <c r="K384" s="209">
        <f>SUM(K380:K383)</f>
        <v>255975</v>
      </c>
      <c r="L384" s="192"/>
      <c r="M384" s="193"/>
    </row>
    <row r="385" spans="1:67" s="269" customFormat="1" x14ac:dyDescent="0.2">
      <c r="A385" s="163">
        <v>106</v>
      </c>
      <c r="B385" s="293" t="s">
        <v>651</v>
      </c>
      <c r="C385" s="294"/>
      <c r="D385" s="166" t="s">
        <v>107</v>
      </c>
      <c r="E385" s="166"/>
      <c r="F385" s="166"/>
      <c r="G385" s="166"/>
      <c r="H385" s="166" t="s">
        <v>164</v>
      </c>
      <c r="I385" s="217" t="s">
        <v>652</v>
      </c>
      <c r="J385" s="267" t="s">
        <v>399</v>
      </c>
      <c r="K385" s="268">
        <f>25000*90%</f>
        <v>22500</v>
      </c>
      <c r="L385" s="171" t="s">
        <v>111</v>
      </c>
      <c r="M385" s="171" t="s">
        <v>653</v>
      </c>
      <c r="N385" s="132"/>
      <c r="O385" s="132"/>
      <c r="P385" s="132"/>
      <c r="Q385" s="132"/>
      <c r="R385" s="132"/>
      <c r="S385" s="132"/>
      <c r="T385" s="132"/>
      <c r="U385" s="132"/>
      <c r="V385" s="132"/>
      <c r="W385" s="132"/>
      <c r="X385" s="132"/>
      <c r="Y385" s="132"/>
      <c r="Z385" s="132"/>
      <c r="AA385" s="132"/>
      <c r="AB385" s="132"/>
      <c r="AC385" s="132"/>
      <c r="AD385" s="132"/>
      <c r="AE385" s="132"/>
      <c r="AF385" s="132"/>
      <c r="AG385" s="132"/>
      <c r="AH385" s="132"/>
      <c r="AI385" s="132"/>
      <c r="AJ385" s="132"/>
      <c r="AK385" s="132"/>
      <c r="AL385" s="132"/>
      <c r="AM385" s="132"/>
      <c r="AN385" s="132"/>
      <c r="AO385" s="132"/>
      <c r="AP385" s="132"/>
      <c r="AQ385" s="132"/>
      <c r="AR385" s="132"/>
      <c r="AS385" s="132"/>
      <c r="AT385" s="132"/>
      <c r="AU385" s="132"/>
      <c r="AV385" s="132"/>
      <c r="AW385" s="132"/>
      <c r="AX385" s="132"/>
      <c r="AY385" s="132"/>
      <c r="AZ385" s="132"/>
      <c r="BA385" s="132"/>
      <c r="BB385" s="132"/>
      <c r="BC385" s="132"/>
      <c r="BD385" s="132"/>
      <c r="BE385" s="132"/>
      <c r="BF385" s="132"/>
      <c r="BG385" s="132"/>
      <c r="BH385" s="132"/>
      <c r="BI385" s="132"/>
      <c r="BJ385" s="132"/>
      <c r="BK385" s="132"/>
      <c r="BL385" s="132"/>
      <c r="BM385" s="132"/>
      <c r="BN385" s="132"/>
      <c r="BO385" s="132"/>
    </row>
    <row r="386" spans="1:67" s="269" customFormat="1" x14ac:dyDescent="0.2">
      <c r="A386" s="173"/>
      <c r="B386" s="288"/>
      <c r="C386" s="289"/>
      <c r="D386" s="176"/>
      <c r="E386" s="176"/>
      <c r="F386" s="176"/>
      <c r="G386" s="176"/>
      <c r="H386" s="176"/>
      <c r="I386" s="184" t="s">
        <v>654</v>
      </c>
      <c r="J386" s="272" t="s">
        <v>117</v>
      </c>
      <c r="K386" s="214">
        <f>25000*10%</f>
        <v>2500</v>
      </c>
      <c r="L386" s="181"/>
      <c r="M386" s="181"/>
      <c r="N386" s="132"/>
      <c r="O386" s="132"/>
      <c r="P386" s="132"/>
      <c r="Q386" s="132"/>
      <c r="R386" s="132"/>
      <c r="S386" s="132"/>
      <c r="T386" s="132"/>
      <c r="U386" s="132"/>
      <c r="V386" s="132"/>
      <c r="W386" s="132"/>
      <c r="X386" s="132"/>
      <c r="Y386" s="132"/>
      <c r="Z386" s="132"/>
      <c r="AA386" s="132"/>
      <c r="AB386" s="132"/>
      <c r="AC386" s="132"/>
      <c r="AD386" s="132"/>
      <c r="AE386" s="132"/>
      <c r="AF386" s="132"/>
      <c r="AG386" s="132"/>
      <c r="AH386" s="132"/>
      <c r="AI386" s="132"/>
      <c r="AJ386" s="132"/>
      <c r="AK386" s="132"/>
      <c r="AL386" s="132"/>
      <c r="AM386" s="132"/>
      <c r="AN386" s="132"/>
      <c r="AO386" s="132"/>
      <c r="AP386" s="132"/>
      <c r="AQ386" s="132"/>
      <c r="AR386" s="132"/>
      <c r="AS386" s="132"/>
      <c r="AT386" s="132"/>
      <c r="AU386" s="132"/>
      <c r="AV386" s="132"/>
      <c r="AW386" s="132"/>
      <c r="AX386" s="132"/>
      <c r="AY386" s="132"/>
      <c r="AZ386" s="132"/>
      <c r="BA386" s="132"/>
      <c r="BB386" s="132"/>
      <c r="BC386" s="132"/>
      <c r="BD386" s="132"/>
      <c r="BE386" s="132"/>
      <c r="BF386" s="132"/>
      <c r="BG386" s="132"/>
      <c r="BH386" s="132"/>
      <c r="BI386" s="132"/>
      <c r="BJ386" s="132"/>
      <c r="BK386" s="132"/>
      <c r="BL386" s="132"/>
      <c r="BM386" s="132"/>
      <c r="BN386" s="132"/>
      <c r="BO386" s="132"/>
    </row>
    <row r="387" spans="1:67" s="269" customFormat="1" x14ac:dyDescent="0.2">
      <c r="A387" s="185"/>
      <c r="B387" s="298"/>
      <c r="C387" s="299"/>
      <c r="D387" s="188"/>
      <c r="E387" s="188"/>
      <c r="F387" s="188"/>
      <c r="G387" s="188"/>
      <c r="H387" s="188"/>
      <c r="I387" s="202"/>
      <c r="J387" s="275"/>
      <c r="K387" s="247">
        <f>SUM(K385:K386)</f>
        <v>25000</v>
      </c>
      <c r="L387" s="193"/>
      <c r="M387" s="193"/>
      <c r="N387" s="132"/>
      <c r="O387" s="132"/>
      <c r="P387" s="132"/>
      <c r="Q387" s="132"/>
      <c r="R387" s="132"/>
      <c r="S387" s="132"/>
      <c r="T387" s="132"/>
      <c r="U387" s="132"/>
      <c r="V387" s="132"/>
      <c r="W387" s="132"/>
      <c r="X387" s="132"/>
      <c r="Y387" s="132"/>
      <c r="Z387" s="132"/>
      <c r="AA387" s="132"/>
      <c r="AB387" s="132"/>
      <c r="AC387" s="132"/>
      <c r="AD387" s="132"/>
      <c r="AE387" s="132"/>
      <c r="AF387" s="132"/>
      <c r="AG387" s="132"/>
      <c r="AH387" s="132"/>
      <c r="AI387" s="132"/>
      <c r="AJ387" s="132"/>
      <c r="AK387" s="132"/>
      <c r="AL387" s="132"/>
      <c r="AM387" s="132"/>
      <c r="AN387" s="132"/>
      <c r="AO387" s="132"/>
      <c r="AP387" s="132"/>
      <c r="AQ387" s="132"/>
      <c r="AR387" s="132"/>
      <c r="AS387" s="132"/>
      <c r="AT387" s="132"/>
      <c r="AU387" s="132"/>
      <c r="AV387" s="132"/>
      <c r="AW387" s="132"/>
      <c r="AX387" s="132"/>
      <c r="AY387" s="132"/>
      <c r="AZ387" s="132"/>
      <c r="BA387" s="132"/>
      <c r="BB387" s="132"/>
      <c r="BC387" s="132"/>
      <c r="BD387" s="132"/>
      <c r="BE387" s="132"/>
      <c r="BF387" s="132"/>
      <c r="BG387" s="132"/>
      <c r="BH387" s="132"/>
      <c r="BI387" s="132"/>
      <c r="BJ387" s="132"/>
      <c r="BK387" s="132"/>
      <c r="BL387" s="132"/>
      <c r="BM387" s="132"/>
      <c r="BN387" s="132"/>
      <c r="BO387" s="132"/>
    </row>
    <row r="388" spans="1:67" s="269" customFormat="1" x14ac:dyDescent="0.2">
      <c r="A388" s="163">
        <v>107</v>
      </c>
      <c r="B388" s="293" t="s">
        <v>655</v>
      </c>
      <c r="C388" s="294"/>
      <c r="D388" s="166" t="s">
        <v>25</v>
      </c>
      <c r="E388" s="166"/>
      <c r="F388" s="166"/>
      <c r="G388" s="166" t="s">
        <v>656</v>
      </c>
      <c r="H388" s="166"/>
      <c r="I388" s="217" t="s">
        <v>657</v>
      </c>
      <c r="J388" s="332" t="s">
        <v>399</v>
      </c>
      <c r="K388" s="268">
        <f>450000*50%</f>
        <v>225000</v>
      </c>
      <c r="L388" s="171" t="s">
        <v>656</v>
      </c>
      <c r="M388" s="171" t="s">
        <v>658</v>
      </c>
      <c r="N388" s="172"/>
      <c r="O388" s="132"/>
      <c r="P388" s="132"/>
      <c r="Q388" s="132"/>
      <c r="R388" s="132"/>
      <c r="S388" s="132"/>
      <c r="T388" s="132"/>
      <c r="U388" s="132"/>
      <c r="V388" s="132"/>
      <c r="W388" s="132"/>
      <c r="X388" s="132"/>
      <c r="Y388" s="132"/>
      <c r="Z388" s="132"/>
      <c r="AA388" s="132"/>
      <c r="AB388" s="132"/>
      <c r="AC388" s="132"/>
      <c r="AD388" s="132"/>
      <c r="AE388" s="132"/>
      <c r="AF388" s="132"/>
      <c r="AG388" s="132"/>
      <c r="AH388" s="132"/>
      <c r="AI388" s="132"/>
      <c r="AJ388" s="132"/>
      <c r="AK388" s="132"/>
      <c r="AL388" s="132"/>
      <c r="AM388" s="132"/>
      <c r="AN388" s="132"/>
      <c r="AO388" s="132"/>
      <c r="AP388" s="132"/>
      <c r="AQ388" s="132"/>
      <c r="AR388" s="132"/>
      <c r="AS388" s="132"/>
      <c r="AT388" s="132"/>
      <c r="AU388" s="132"/>
      <c r="AV388" s="132"/>
      <c r="AW388" s="132"/>
      <c r="AX388" s="132"/>
      <c r="AY388" s="132"/>
      <c r="AZ388" s="132"/>
      <c r="BA388" s="132"/>
      <c r="BB388" s="132"/>
      <c r="BC388" s="132"/>
      <c r="BD388" s="132"/>
      <c r="BE388" s="132"/>
      <c r="BF388" s="132"/>
      <c r="BG388" s="132"/>
      <c r="BH388" s="132"/>
      <c r="BI388" s="132"/>
      <c r="BJ388" s="132"/>
      <c r="BK388" s="132"/>
      <c r="BL388" s="132"/>
      <c r="BM388" s="132"/>
      <c r="BN388" s="132"/>
      <c r="BO388" s="132"/>
    </row>
    <row r="389" spans="1:67" s="269" customFormat="1" x14ac:dyDescent="0.2">
      <c r="A389" s="173"/>
      <c r="B389" s="288"/>
      <c r="C389" s="289"/>
      <c r="D389" s="176"/>
      <c r="E389" s="176"/>
      <c r="F389" s="176"/>
      <c r="G389" s="176"/>
      <c r="H389" s="176"/>
      <c r="I389" s="167" t="s">
        <v>659</v>
      </c>
      <c r="J389" s="207" t="s">
        <v>399</v>
      </c>
      <c r="K389" s="214">
        <f>450000*20%</f>
        <v>90000</v>
      </c>
      <c r="L389" s="181"/>
      <c r="M389" s="181"/>
      <c r="N389" s="132"/>
      <c r="O389" s="132"/>
      <c r="P389" s="132"/>
      <c r="Q389" s="132"/>
      <c r="R389" s="132"/>
      <c r="S389" s="132"/>
      <c r="T389" s="132"/>
      <c r="U389" s="132"/>
      <c r="V389" s="132"/>
      <c r="W389" s="132"/>
      <c r="X389" s="132"/>
      <c r="Y389" s="132"/>
      <c r="Z389" s="132"/>
      <c r="AA389" s="132"/>
      <c r="AB389" s="132"/>
      <c r="AC389" s="132"/>
      <c r="AD389" s="132"/>
      <c r="AE389" s="132"/>
      <c r="AF389" s="132"/>
      <c r="AG389" s="132"/>
      <c r="AH389" s="132"/>
      <c r="AI389" s="132"/>
      <c r="AJ389" s="132"/>
      <c r="AK389" s="132"/>
      <c r="AL389" s="132"/>
      <c r="AM389" s="132"/>
      <c r="AN389" s="132"/>
      <c r="AO389" s="132"/>
      <c r="AP389" s="132"/>
      <c r="AQ389" s="132"/>
      <c r="AR389" s="132"/>
      <c r="AS389" s="132"/>
      <c r="AT389" s="132"/>
      <c r="AU389" s="132"/>
      <c r="AV389" s="132"/>
      <c r="AW389" s="132"/>
      <c r="AX389" s="132"/>
      <c r="AY389" s="132"/>
      <c r="AZ389" s="132"/>
      <c r="BA389" s="132"/>
      <c r="BB389" s="132"/>
      <c r="BC389" s="132"/>
      <c r="BD389" s="132"/>
      <c r="BE389" s="132"/>
      <c r="BF389" s="132"/>
      <c r="BG389" s="132"/>
      <c r="BH389" s="132"/>
      <c r="BI389" s="132"/>
      <c r="BJ389" s="132"/>
      <c r="BK389" s="132"/>
      <c r="BL389" s="132"/>
      <c r="BM389" s="132"/>
      <c r="BN389" s="132"/>
      <c r="BO389" s="132"/>
    </row>
    <row r="390" spans="1:67" s="269" customFormat="1" x14ac:dyDescent="0.2">
      <c r="A390" s="173"/>
      <c r="B390" s="288"/>
      <c r="C390" s="289"/>
      <c r="D390" s="176"/>
      <c r="E390" s="176"/>
      <c r="F390" s="176"/>
      <c r="G390" s="176"/>
      <c r="H390" s="176"/>
      <c r="I390" s="177" t="s">
        <v>660</v>
      </c>
      <c r="J390" s="168" t="s">
        <v>117</v>
      </c>
      <c r="K390" s="214">
        <f>450000*20%</f>
        <v>90000</v>
      </c>
      <c r="L390" s="181"/>
      <c r="M390" s="181"/>
      <c r="N390" s="132"/>
      <c r="O390" s="132"/>
      <c r="P390" s="132"/>
      <c r="Q390" s="132"/>
      <c r="R390" s="132"/>
      <c r="S390" s="132"/>
      <c r="T390" s="132"/>
      <c r="U390" s="132"/>
      <c r="V390" s="132"/>
      <c r="W390" s="132"/>
      <c r="X390" s="132"/>
      <c r="Y390" s="132"/>
      <c r="Z390" s="132"/>
      <c r="AA390" s="132"/>
      <c r="AB390" s="132"/>
      <c r="AC390" s="132"/>
      <c r="AD390" s="132"/>
      <c r="AE390" s="132"/>
      <c r="AF390" s="132"/>
      <c r="AG390" s="132"/>
      <c r="AH390" s="132"/>
      <c r="AI390" s="132"/>
      <c r="AJ390" s="132"/>
      <c r="AK390" s="132"/>
      <c r="AL390" s="132"/>
      <c r="AM390" s="132"/>
      <c r="AN390" s="132"/>
      <c r="AO390" s="132"/>
      <c r="AP390" s="132"/>
      <c r="AQ390" s="132"/>
      <c r="AR390" s="132"/>
      <c r="AS390" s="132"/>
      <c r="AT390" s="132"/>
      <c r="AU390" s="132"/>
      <c r="AV390" s="132"/>
      <c r="AW390" s="132"/>
      <c r="AX390" s="132"/>
      <c r="AY390" s="132"/>
      <c r="AZ390" s="132"/>
      <c r="BA390" s="132"/>
      <c r="BB390" s="132"/>
      <c r="BC390" s="132"/>
      <c r="BD390" s="132"/>
      <c r="BE390" s="132"/>
      <c r="BF390" s="132"/>
      <c r="BG390" s="132"/>
      <c r="BH390" s="132"/>
      <c r="BI390" s="132"/>
      <c r="BJ390" s="132"/>
      <c r="BK390" s="132"/>
      <c r="BL390" s="132"/>
      <c r="BM390" s="132"/>
      <c r="BN390" s="132"/>
      <c r="BO390" s="132"/>
    </row>
    <row r="391" spans="1:67" s="269" customFormat="1" x14ac:dyDescent="0.2">
      <c r="A391" s="173"/>
      <c r="B391" s="288"/>
      <c r="C391" s="289"/>
      <c r="D391" s="176"/>
      <c r="E391" s="176"/>
      <c r="F391" s="176"/>
      <c r="G391" s="176"/>
      <c r="H391" s="176"/>
      <c r="I391" s="177" t="s">
        <v>661</v>
      </c>
      <c r="J391" s="207" t="s">
        <v>662</v>
      </c>
      <c r="K391" s="214">
        <f>450000*10%</f>
        <v>45000</v>
      </c>
      <c r="L391" s="181"/>
      <c r="M391" s="181"/>
      <c r="N391" s="172"/>
      <c r="O391" s="132"/>
      <c r="P391" s="132"/>
      <c r="Q391" s="132"/>
      <c r="R391" s="132"/>
      <c r="S391" s="132"/>
      <c r="T391" s="132"/>
      <c r="U391" s="132"/>
      <c r="V391" s="132"/>
      <c r="W391" s="132"/>
      <c r="X391" s="132"/>
      <c r="Y391" s="132"/>
      <c r="Z391" s="132"/>
      <c r="AA391" s="132"/>
      <c r="AB391" s="132"/>
      <c r="AC391" s="132"/>
      <c r="AD391" s="132"/>
      <c r="AE391" s="132"/>
      <c r="AF391" s="132"/>
      <c r="AG391" s="132"/>
      <c r="AH391" s="132"/>
      <c r="AI391" s="132"/>
      <c r="AJ391" s="132"/>
      <c r="AK391" s="132"/>
      <c r="AL391" s="132"/>
      <c r="AM391" s="132"/>
      <c r="AN391" s="132"/>
      <c r="AO391" s="132"/>
      <c r="AP391" s="132"/>
      <c r="AQ391" s="132"/>
      <c r="AR391" s="132"/>
      <c r="AS391" s="132"/>
      <c r="AT391" s="132"/>
      <c r="AU391" s="132"/>
      <c r="AV391" s="132"/>
      <c r="AW391" s="132"/>
      <c r="AX391" s="132"/>
      <c r="AY391" s="132"/>
      <c r="AZ391" s="132"/>
      <c r="BA391" s="132"/>
      <c r="BB391" s="132"/>
      <c r="BC391" s="132"/>
      <c r="BD391" s="132"/>
      <c r="BE391" s="132"/>
      <c r="BF391" s="132"/>
      <c r="BG391" s="132"/>
      <c r="BH391" s="132"/>
      <c r="BI391" s="132"/>
      <c r="BJ391" s="132"/>
      <c r="BK391" s="132"/>
      <c r="BL391" s="132"/>
      <c r="BM391" s="132"/>
      <c r="BN391" s="132"/>
      <c r="BO391" s="132"/>
    </row>
    <row r="392" spans="1:67" s="269" customFormat="1" x14ac:dyDescent="0.2">
      <c r="A392" s="185"/>
      <c r="B392" s="290"/>
      <c r="C392" s="291"/>
      <c r="D392" s="188"/>
      <c r="E392" s="188"/>
      <c r="F392" s="188"/>
      <c r="G392" s="188"/>
      <c r="H392" s="188"/>
      <c r="I392" s="177"/>
      <c r="J392" s="215"/>
      <c r="K392" s="333">
        <f>SUM(K388:K391)</f>
        <v>450000</v>
      </c>
      <c r="L392" s="193"/>
      <c r="M392" s="193"/>
      <c r="N392" s="132"/>
      <c r="O392" s="132"/>
      <c r="P392" s="132"/>
      <c r="Q392" s="132"/>
      <c r="R392" s="132"/>
      <c r="S392" s="132"/>
      <c r="T392" s="132"/>
      <c r="U392" s="132"/>
      <c r="V392" s="132"/>
      <c r="W392" s="132"/>
      <c r="X392" s="132"/>
      <c r="Y392" s="132"/>
      <c r="Z392" s="132"/>
      <c r="AA392" s="132"/>
      <c r="AB392" s="132"/>
      <c r="AC392" s="132"/>
      <c r="AD392" s="132"/>
      <c r="AE392" s="132"/>
      <c r="AF392" s="132"/>
      <c r="AG392" s="132"/>
      <c r="AH392" s="132"/>
      <c r="AI392" s="132"/>
      <c r="AJ392" s="132"/>
      <c r="AK392" s="132"/>
      <c r="AL392" s="132"/>
      <c r="AM392" s="132"/>
      <c r="AN392" s="132"/>
      <c r="AO392" s="132"/>
      <c r="AP392" s="132"/>
      <c r="AQ392" s="132"/>
      <c r="AR392" s="132"/>
      <c r="AS392" s="132"/>
      <c r="AT392" s="132"/>
      <c r="AU392" s="132"/>
      <c r="AV392" s="132"/>
      <c r="AW392" s="132"/>
      <c r="AX392" s="132"/>
      <c r="AY392" s="132"/>
      <c r="AZ392" s="132"/>
      <c r="BA392" s="132"/>
      <c r="BB392" s="132"/>
      <c r="BC392" s="132"/>
      <c r="BD392" s="132"/>
      <c r="BE392" s="132"/>
      <c r="BF392" s="132"/>
      <c r="BG392" s="132"/>
      <c r="BH392" s="132"/>
      <c r="BI392" s="132"/>
      <c r="BJ392" s="132"/>
      <c r="BK392" s="132"/>
      <c r="BL392" s="132"/>
      <c r="BM392" s="132"/>
      <c r="BN392" s="132"/>
      <c r="BO392" s="132"/>
    </row>
    <row r="393" spans="1:67" s="269" customFormat="1" x14ac:dyDescent="0.2">
      <c r="A393" s="163">
        <v>108</v>
      </c>
      <c r="B393" s="293" t="s">
        <v>663</v>
      </c>
      <c r="C393" s="294"/>
      <c r="D393" s="166" t="s">
        <v>107</v>
      </c>
      <c r="E393" s="166"/>
      <c r="F393" s="166"/>
      <c r="G393" s="166"/>
      <c r="H393" s="248"/>
      <c r="I393" s="217" t="s">
        <v>664</v>
      </c>
      <c r="J393" s="267" t="s">
        <v>399</v>
      </c>
      <c r="K393" s="334">
        <f>8000*80%</f>
        <v>6400</v>
      </c>
      <c r="L393" s="171" t="s">
        <v>111</v>
      </c>
      <c r="M393" s="171" t="s">
        <v>665</v>
      </c>
      <c r="N393" s="132"/>
      <c r="O393" s="132"/>
      <c r="P393" s="132"/>
      <c r="Q393" s="132"/>
      <c r="R393" s="132"/>
      <c r="S393" s="132"/>
      <c r="T393" s="132"/>
      <c r="U393" s="132"/>
      <c r="V393" s="132"/>
      <c r="W393" s="132"/>
      <c r="X393" s="132"/>
      <c r="Y393" s="132"/>
      <c r="Z393" s="132"/>
      <c r="AA393" s="132"/>
      <c r="AB393" s="132"/>
      <c r="AC393" s="132"/>
      <c r="AD393" s="132"/>
      <c r="AE393" s="132"/>
      <c r="AF393" s="132"/>
      <c r="AG393" s="132"/>
      <c r="AH393" s="132"/>
      <c r="AI393" s="132"/>
      <c r="AJ393" s="132"/>
      <c r="AK393" s="132"/>
      <c r="AL393" s="132"/>
      <c r="AM393" s="132"/>
      <c r="AN393" s="132"/>
      <c r="AO393" s="132"/>
      <c r="AP393" s="132"/>
      <c r="AQ393" s="132"/>
      <c r="AR393" s="132"/>
      <c r="AS393" s="132"/>
      <c r="AT393" s="132"/>
      <c r="AU393" s="132"/>
      <c r="AV393" s="132"/>
      <c r="AW393" s="132"/>
      <c r="AX393" s="132"/>
      <c r="AY393" s="132"/>
      <c r="AZ393" s="132"/>
      <c r="BA393" s="132"/>
      <c r="BB393" s="132"/>
    </row>
    <row r="394" spans="1:67" s="269" customFormat="1" x14ac:dyDescent="0.2">
      <c r="A394" s="173"/>
      <c r="B394" s="288"/>
      <c r="C394" s="289"/>
      <c r="D394" s="176"/>
      <c r="E394" s="176"/>
      <c r="F394" s="176"/>
      <c r="G394" s="176"/>
      <c r="H394" s="250"/>
      <c r="I394" s="184" t="s">
        <v>666</v>
      </c>
      <c r="J394" s="272" t="s">
        <v>399</v>
      </c>
      <c r="K394" s="296">
        <f>8000*5%</f>
        <v>400</v>
      </c>
      <c r="L394" s="181"/>
      <c r="M394" s="181"/>
      <c r="N394" s="132"/>
      <c r="O394" s="132"/>
      <c r="P394" s="132"/>
      <c r="Q394" s="132"/>
      <c r="R394" s="132"/>
      <c r="S394" s="132"/>
      <c r="T394" s="132"/>
      <c r="U394" s="132"/>
      <c r="V394" s="132"/>
      <c r="W394" s="132"/>
      <c r="X394" s="132"/>
      <c r="Y394" s="132"/>
      <c r="Z394" s="132"/>
      <c r="AA394" s="132"/>
      <c r="AB394" s="132"/>
      <c r="AC394" s="132"/>
      <c r="AD394" s="132"/>
      <c r="AE394" s="132"/>
      <c r="AF394" s="132"/>
      <c r="AG394" s="132"/>
      <c r="AH394" s="132"/>
      <c r="AI394" s="132"/>
      <c r="AJ394" s="132"/>
      <c r="AK394" s="132"/>
      <c r="AL394" s="132"/>
      <c r="AM394" s="132"/>
      <c r="AN394" s="132"/>
      <c r="AO394" s="132"/>
      <c r="AP394" s="132"/>
      <c r="AQ394" s="132"/>
      <c r="AR394" s="132"/>
      <c r="AS394" s="132"/>
      <c r="AT394" s="132"/>
      <c r="AU394" s="132"/>
      <c r="AV394" s="132"/>
      <c r="AW394" s="132"/>
      <c r="AX394" s="132"/>
      <c r="AY394" s="132"/>
      <c r="AZ394" s="132"/>
      <c r="BA394" s="132"/>
      <c r="BB394" s="132"/>
    </row>
    <row r="395" spans="1:67" s="269" customFormat="1" x14ac:dyDescent="0.2">
      <c r="A395" s="173"/>
      <c r="B395" s="288"/>
      <c r="C395" s="289"/>
      <c r="D395" s="176"/>
      <c r="E395" s="176"/>
      <c r="F395" s="176"/>
      <c r="G395" s="176"/>
      <c r="H395" s="250"/>
      <c r="I395" s="184" t="s">
        <v>667</v>
      </c>
      <c r="J395" s="272" t="s">
        <v>399</v>
      </c>
      <c r="K395" s="296">
        <f t="shared" ref="K395:K397" si="7">8000*5%</f>
        <v>400</v>
      </c>
      <c r="L395" s="181"/>
      <c r="M395" s="181"/>
      <c r="N395" s="132"/>
      <c r="O395" s="132"/>
      <c r="P395" s="132"/>
      <c r="Q395" s="132"/>
      <c r="R395" s="132"/>
      <c r="S395" s="132"/>
      <c r="T395" s="132"/>
      <c r="U395" s="132"/>
      <c r="V395" s="132"/>
      <c r="W395" s="132"/>
      <c r="X395" s="132"/>
      <c r="Y395" s="132"/>
      <c r="Z395" s="132"/>
      <c r="AA395" s="132"/>
      <c r="AB395" s="132"/>
      <c r="AC395" s="132"/>
      <c r="AD395" s="132"/>
      <c r="AE395" s="132"/>
      <c r="AF395" s="132"/>
      <c r="AG395" s="132"/>
      <c r="AH395" s="132"/>
      <c r="AI395" s="132"/>
      <c r="AJ395" s="132"/>
      <c r="AK395" s="132"/>
      <c r="AL395" s="132"/>
      <c r="AM395" s="132"/>
      <c r="AN395" s="132"/>
      <c r="AO395" s="132"/>
      <c r="AP395" s="132"/>
      <c r="AQ395" s="132"/>
      <c r="AR395" s="132"/>
      <c r="AS395" s="132"/>
      <c r="AT395" s="132"/>
      <c r="AU395" s="132"/>
      <c r="AV395" s="132"/>
      <c r="AW395" s="132"/>
      <c r="AX395" s="132"/>
      <c r="AY395" s="132"/>
      <c r="AZ395" s="132"/>
      <c r="BA395" s="132"/>
      <c r="BB395" s="132"/>
    </row>
    <row r="396" spans="1:67" s="269" customFormat="1" x14ac:dyDescent="0.2">
      <c r="A396" s="173"/>
      <c r="B396" s="288"/>
      <c r="C396" s="289"/>
      <c r="D396" s="176"/>
      <c r="E396" s="176"/>
      <c r="F396" s="176"/>
      <c r="G396" s="176"/>
      <c r="H396" s="250"/>
      <c r="I396" s="184" t="s">
        <v>668</v>
      </c>
      <c r="J396" s="272" t="s">
        <v>399</v>
      </c>
      <c r="K396" s="296">
        <f t="shared" si="7"/>
        <v>400</v>
      </c>
      <c r="L396" s="181"/>
      <c r="M396" s="181"/>
      <c r="N396" s="132"/>
      <c r="O396" s="132"/>
      <c r="P396" s="132"/>
      <c r="Q396" s="132"/>
      <c r="R396" s="132"/>
      <c r="S396" s="132"/>
      <c r="T396" s="132"/>
      <c r="U396" s="132"/>
      <c r="V396" s="132"/>
      <c r="W396" s="132"/>
      <c r="X396" s="132"/>
      <c r="Y396" s="132"/>
      <c r="Z396" s="132"/>
      <c r="AA396" s="132"/>
      <c r="AB396" s="132"/>
      <c r="AC396" s="132"/>
      <c r="AD396" s="132"/>
      <c r="AE396" s="132"/>
      <c r="AF396" s="132"/>
      <c r="AG396" s="132"/>
      <c r="AH396" s="132"/>
      <c r="AI396" s="132"/>
      <c r="AJ396" s="132"/>
      <c r="AK396" s="132"/>
      <c r="AL396" s="132"/>
      <c r="AM396" s="132"/>
      <c r="AN396" s="132"/>
      <c r="AO396" s="132"/>
      <c r="AP396" s="132"/>
      <c r="AQ396" s="132"/>
      <c r="AR396" s="132"/>
      <c r="AS396" s="132"/>
      <c r="AT396" s="132"/>
      <c r="AU396" s="132"/>
      <c r="AV396" s="132"/>
      <c r="AW396" s="132"/>
      <c r="AX396" s="132"/>
      <c r="AY396" s="132"/>
      <c r="AZ396" s="132"/>
      <c r="BA396" s="132"/>
      <c r="BB396" s="132"/>
    </row>
    <row r="397" spans="1:67" s="269" customFormat="1" x14ac:dyDescent="0.2">
      <c r="A397" s="173"/>
      <c r="B397" s="288"/>
      <c r="C397" s="289"/>
      <c r="D397" s="176"/>
      <c r="E397" s="176"/>
      <c r="F397" s="176"/>
      <c r="G397" s="176"/>
      <c r="H397" s="250"/>
      <c r="I397" s="184" t="s">
        <v>669</v>
      </c>
      <c r="J397" s="272" t="s">
        <v>399</v>
      </c>
      <c r="K397" s="296">
        <f t="shared" si="7"/>
        <v>400</v>
      </c>
      <c r="L397" s="181"/>
      <c r="M397" s="181"/>
      <c r="N397" s="132"/>
      <c r="O397" s="132"/>
      <c r="P397" s="132"/>
      <c r="Q397" s="132"/>
      <c r="R397" s="132"/>
      <c r="S397" s="132"/>
      <c r="T397" s="132"/>
      <c r="U397" s="132"/>
      <c r="V397" s="132"/>
      <c r="W397" s="132"/>
      <c r="X397" s="132"/>
      <c r="Y397" s="132"/>
      <c r="Z397" s="132"/>
      <c r="AA397" s="132"/>
      <c r="AB397" s="132"/>
      <c r="AC397" s="132"/>
      <c r="AD397" s="132"/>
      <c r="AE397" s="132"/>
      <c r="AF397" s="132"/>
      <c r="AG397" s="132"/>
      <c r="AH397" s="132"/>
      <c r="AI397" s="132"/>
      <c r="AJ397" s="132"/>
      <c r="AK397" s="132"/>
      <c r="AL397" s="132"/>
      <c r="AM397" s="132"/>
      <c r="AN397" s="132"/>
      <c r="AO397" s="132"/>
      <c r="AP397" s="132"/>
      <c r="AQ397" s="132"/>
      <c r="AR397" s="132"/>
      <c r="AS397" s="132"/>
      <c r="AT397" s="132"/>
      <c r="AU397" s="132"/>
      <c r="AV397" s="132"/>
      <c r="AW397" s="132"/>
      <c r="AX397" s="132"/>
      <c r="AY397" s="132"/>
      <c r="AZ397" s="132"/>
      <c r="BA397" s="132"/>
      <c r="BB397" s="132"/>
    </row>
    <row r="398" spans="1:67" s="269" customFormat="1" x14ac:dyDescent="0.2">
      <c r="A398" s="185"/>
      <c r="B398" s="298"/>
      <c r="C398" s="299"/>
      <c r="D398" s="188"/>
      <c r="E398" s="188"/>
      <c r="F398" s="188"/>
      <c r="G398" s="188"/>
      <c r="H398" s="251"/>
      <c r="I398" s="202"/>
      <c r="J398" s="275"/>
      <c r="K398" s="335">
        <f>SUM(K393:K397)</f>
        <v>8000</v>
      </c>
      <c r="L398" s="193"/>
      <c r="M398" s="193"/>
      <c r="N398" s="132"/>
      <c r="O398" s="132"/>
      <c r="P398" s="132"/>
      <c r="Q398" s="132"/>
      <c r="R398" s="132"/>
      <c r="S398" s="132"/>
      <c r="T398" s="132"/>
      <c r="U398" s="132"/>
      <c r="V398" s="132"/>
      <c r="W398" s="132"/>
      <c r="X398" s="132"/>
      <c r="Y398" s="132"/>
      <c r="Z398" s="132"/>
      <c r="AA398" s="132"/>
      <c r="AB398" s="132"/>
      <c r="AC398" s="132"/>
      <c r="AD398" s="132"/>
      <c r="AE398" s="132"/>
      <c r="AF398" s="132"/>
      <c r="AG398" s="132"/>
      <c r="AH398" s="132"/>
      <c r="AI398" s="132"/>
      <c r="AJ398" s="132"/>
      <c r="AK398" s="132"/>
      <c r="AL398" s="132"/>
      <c r="AM398" s="132"/>
      <c r="AN398" s="132"/>
      <c r="AO398" s="132"/>
      <c r="AP398" s="132"/>
      <c r="AQ398" s="132"/>
      <c r="AR398" s="132"/>
      <c r="AS398" s="132"/>
      <c r="AT398" s="132"/>
      <c r="AU398" s="132"/>
      <c r="AV398" s="132"/>
      <c r="AW398" s="132"/>
      <c r="AX398" s="132"/>
      <c r="AY398" s="132"/>
      <c r="AZ398" s="132"/>
      <c r="BA398" s="132"/>
      <c r="BB398" s="132"/>
    </row>
    <row r="399" spans="1:67" s="269" customFormat="1" x14ac:dyDescent="0.2">
      <c r="A399" s="329">
        <v>109</v>
      </c>
      <c r="B399" s="255" t="s">
        <v>670</v>
      </c>
      <c r="C399" s="256"/>
      <c r="D399" s="336" t="s">
        <v>107</v>
      </c>
      <c r="E399" s="336"/>
      <c r="F399" s="336"/>
      <c r="G399" s="336"/>
      <c r="H399" s="336"/>
      <c r="I399" s="282" t="s">
        <v>671</v>
      </c>
      <c r="J399" s="283" t="s">
        <v>399</v>
      </c>
      <c r="K399" s="337" t="s">
        <v>672</v>
      </c>
      <c r="L399" s="282" t="s">
        <v>111</v>
      </c>
      <c r="M399" s="282" t="s">
        <v>673</v>
      </c>
      <c r="N399" s="132"/>
      <c r="O399" s="132"/>
      <c r="P399" s="132"/>
      <c r="Q399" s="132"/>
      <c r="R399" s="132"/>
      <c r="S399" s="132"/>
      <c r="T399" s="132"/>
      <c r="U399" s="132"/>
      <c r="V399" s="132"/>
      <c r="W399" s="132"/>
      <c r="X399" s="132"/>
      <c r="Y399" s="132"/>
      <c r="Z399" s="132"/>
      <c r="AA399" s="132"/>
      <c r="AB399" s="132"/>
      <c r="AC399" s="132"/>
      <c r="AD399" s="132"/>
      <c r="AE399" s="132"/>
      <c r="AF399" s="132"/>
      <c r="AG399" s="132"/>
      <c r="AH399" s="132"/>
      <c r="AI399" s="132"/>
      <c r="AJ399" s="132"/>
      <c r="AK399" s="132"/>
      <c r="AL399" s="132"/>
      <c r="AM399" s="132"/>
      <c r="AN399" s="132"/>
      <c r="AO399" s="132"/>
      <c r="AP399" s="132"/>
      <c r="AQ399" s="132"/>
      <c r="AR399" s="132"/>
      <c r="AS399" s="132"/>
      <c r="AT399" s="132"/>
      <c r="AU399" s="132"/>
      <c r="AV399" s="132"/>
      <c r="AW399" s="132"/>
      <c r="AX399" s="132"/>
      <c r="AY399" s="132"/>
      <c r="AZ399" s="132"/>
      <c r="BA399" s="132"/>
      <c r="BB399" s="132"/>
    </row>
    <row r="400" spans="1:67" x14ac:dyDescent="0.2">
      <c r="A400" s="163">
        <v>110</v>
      </c>
      <c r="B400" s="164" t="s">
        <v>674</v>
      </c>
      <c r="C400" s="165"/>
      <c r="D400" s="166" t="s">
        <v>107</v>
      </c>
      <c r="E400" s="166"/>
      <c r="F400" s="166"/>
      <c r="G400" s="166"/>
      <c r="H400" s="166"/>
      <c r="I400" s="217" t="s">
        <v>675</v>
      </c>
      <c r="J400" s="194" t="s">
        <v>275</v>
      </c>
      <c r="K400" s="206">
        <f>6300*75%</f>
        <v>4725</v>
      </c>
      <c r="L400" s="170" t="s">
        <v>111</v>
      </c>
      <c r="M400" s="171" t="s">
        <v>676</v>
      </c>
      <c r="N400" s="172"/>
    </row>
    <row r="401" spans="1:14" x14ac:dyDescent="0.2">
      <c r="A401" s="173"/>
      <c r="B401" s="174"/>
      <c r="C401" s="175"/>
      <c r="D401" s="176"/>
      <c r="E401" s="176"/>
      <c r="F401" s="176"/>
      <c r="G401" s="176"/>
      <c r="H401" s="176"/>
      <c r="I401" s="177" t="s">
        <v>677</v>
      </c>
      <c r="J401" s="304" t="s">
        <v>275</v>
      </c>
      <c r="K401" s="201">
        <f>6300*5%</f>
        <v>315</v>
      </c>
      <c r="L401" s="180"/>
      <c r="M401" s="181"/>
      <c r="N401" s="172"/>
    </row>
    <row r="402" spans="1:14" x14ac:dyDescent="0.2">
      <c r="A402" s="173"/>
      <c r="B402" s="174"/>
      <c r="C402" s="175"/>
      <c r="D402" s="176"/>
      <c r="E402" s="176"/>
      <c r="F402" s="176"/>
      <c r="G402" s="176"/>
      <c r="H402" s="176"/>
      <c r="I402" s="184" t="s">
        <v>678</v>
      </c>
      <c r="J402" s="304" t="s">
        <v>275</v>
      </c>
      <c r="K402" s="208">
        <f>6300*5%</f>
        <v>315</v>
      </c>
      <c r="L402" s="180"/>
      <c r="M402" s="181"/>
    </row>
    <row r="403" spans="1:14" x14ac:dyDescent="0.2">
      <c r="A403" s="173"/>
      <c r="B403" s="174"/>
      <c r="C403" s="175"/>
      <c r="D403" s="176"/>
      <c r="E403" s="176"/>
      <c r="F403" s="176"/>
      <c r="G403" s="176"/>
      <c r="H403" s="176"/>
      <c r="I403" s="167" t="s">
        <v>679</v>
      </c>
      <c r="J403" s="168" t="s">
        <v>275</v>
      </c>
      <c r="K403" s="230">
        <f>6300*5%</f>
        <v>315</v>
      </c>
      <c r="L403" s="180"/>
      <c r="M403" s="181"/>
    </row>
    <row r="404" spans="1:14" x14ac:dyDescent="0.2">
      <c r="A404" s="173"/>
      <c r="B404" s="174"/>
      <c r="C404" s="175"/>
      <c r="D404" s="176"/>
      <c r="E404" s="176"/>
      <c r="F404" s="176"/>
      <c r="G404" s="176"/>
      <c r="H404" s="176"/>
      <c r="I404" s="177" t="s">
        <v>680</v>
      </c>
      <c r="J404" s="178" t="s">
        <v>681</v>
      </c>
      <c r="K404" s="208">
        <f>6300*5%</f>
        <v>315</v>
      </c>
      <c r="L404" s="180"/>
      <c r="M404" s="181"/>
    </row>
    <row r="405" spans="1:14" x14ac:dyDescent="0.2">
      <c r="A405" s="173"/>
      <c r="B405" s="174"/>
      <c r="C405" s="175"/>
      <c r="D405" s="176"/>
      <c r="E405" s="176"/>
      <c r="F405" s="176"/>
      <c r="G405" s="176"/>
      <c r="H405" s="176"/>
      <c r="I405" s="184" t="s">
        <v>682</v>
      </c>
      <c r="J405" s="168" t="s">
        <v>683</v>
      </c>
      <c r="K405" s="201">
        <f>6300*5%</f>
        <v>315</v>
      </c>
      <c r="L405" s="180"/>
      <c r="M405" s="181"/>
      <c r="N405" s="172"/>
    </row>
    <row r="406" spans="1:14" x14ac:dyDescent="0.2">
      <c r="A406" s="185"/>
      <c r="B406" s="186"/>
      <c r="C406" s="187"/>
      <c r="D406" s="188"/>
      <c r="E406" s="188"/>
      <c r="F406" s="188"/>
      <c r="G406" s="188"/>
      <c r="H406" s="188"/>
      <c r="I406" s="189"/>
      <c r="J406" s="190"/>
      <c r="K406" s="191">
        <f>SUM(K400:K405)</f>
        <v>6300</v>
      </c>
      <c r="L406" s="192"/>
      <c r="M406" s="193"/>
    </row>
    <row r="407" spans="1:14" x14ac:dyDescent="0.2">
      <c r="A407" s="163">
        <v>111</v>
      </c>
      <c r="B407" s="164" t="s">
        <v>684</v>
      </c>
      <c r="C407" s="165"/>
      <c r="D407" s="166" t="s">
        <v>107</v>
      </c>
      <c r="E407" s="166"/>
      <c r="F407" s="166"/>
      <c r="G407" s="166"/>
      <c r="H407" s="166"/>
      <c r="I407" s="167" t="s">
        <v>685</v>
      </c>
      <c r="J407" s="168" t="s">
        <v>362</v>
      </c>
      <c r="K407" s="169">
        <f>6300*5%</f>
        <v>315</v>
      </c>
      <c r="L407" s="170" t="s">
        <v>111</v>
      </c>
      <c r="M407" s="171" t="s">
        <v>686</v>
      </c>
    </row>
    <row r="408" spans="1:14" x14ac:dyDescent="0.2">
      <c r="A408" s="173"/>
      <c r="B408" s="174"/>
      <c r="C408" s="175"/>
      <c r="D408" s="176"/>
      <c r="E408" s="176"/>
      <c r="F408" s="176"/>
      <c r="G408" s="176"/>
      <c r="H408" s="176"/>
      <c r="I408" s="177" t="s">
        <v>687</v>
      </c>
      <c r="J408" s="178" t="s">
        <v>275</v>
      </c>
      <c r="K408" s="179">
        <f>6300*5%</f>
        <v>315</v>
      </c>
      <c r="L408" s="180"/>
      <c r="M408" s="181"/>
    </row>
    <row r="409" spans="1:14" x14ac:dyDescent="0.2">
      <c r="A409" s="173"/>
      <c r="B409" s="174"/>
      <c r="C409" s="175"/>
      <c r="D409" s="176"/>
      <c r="E409" s="176"/>
      <c r="F409" s="176"/>
      <c r="G409" s="176"/>
      <c r="H409" s="176"/>
      <c r="I409" s="177" t="s">
        <v>677</v>
      </c>
      <c r="J409" s="178" t="s">
        <v>275</v>
      </c>
      <c r="K409" s="179">
        <f>6300*5%</f>
        <v>315</v>
      </c>
      <c r="L409" s="180"/>
      <c r="M409" s="181"/>
    </row>
    <row r="410" spans="1:14" x14ac:dyDescent="0.2">
      <c r="A410" s="173"/>
      <c r="B410" s="174"/>
      <c r="C410" s="175"/>
      <c r="D410" s="176"/>
      <c r="E410" s="176"/>
      <c r="F410" s="176"/>
      <c r="G410" s="176"/>
      <c r="H410" s="176"/>
      <c r="I410" s="177" t="s">
        <v>688</v>
      </c>
      <c r="J410" s="178" t="s">
        <v>275</v>
      </c>
      <c r="K410" s="179">
        <f>6300*70%</f>
        <v>4410</v>
      </c>
      <c r="L410" s="180"/>
      <c r="M410" s="181"/>
    </row>
    <row r="411" spans="1:14" x14ac:dyDescent="0.2">
      <c r="A411" s="173"/>
      <c r="B411" s="174"/>
      <c r="C411" s="175"/>
      <c r="D411" s="176"/>
      <c r="E411" s="176"/>
      <c r="F411" s="176"/>
      <c r="G411" s="176"/>
      <c r="H411" s="176"/>
      <c r="I411" s="177" t="s">
        <v>680</v>
      </c>
      <c r="J411" s="168" t="s">
        <v>681</v>
      </c>
      <c r="K411" s="230">
        <f>6300*5%</f>
        <v>315</v>
      </c>
      <c r="L411" s="180"/>
      <c r="M411" s="181"/>
    </row>
    <row r="412" spans="1:14" x14ac:dyDescent="0.2">
      <c r="A412" s="173"/>
      <c r="B412" s="174"/>
      <c r="C412" s="175"/>
      <c r="D412" s="176"/>
      <c r="E412" s="176"/>
      <c r="F412" s="176"/>
      <c r="G412" s="176"/>
      <c r="H412" s="176"/>
      <c r="I412" s="184" t="s">
        <v>689</v>
      </c>
      <c r="J412" s="178" t="s">
        <v>275</v>
      </c>
      <c r="K412" s="208">
        <f>6300*5%</f>
        <v>315</v>
      </c>
      <c r="L412" s="180"/>
      <c r="M412" s="181"/>
    </row>
    <row r="413" spans="1:14" x14ac:dyDescent="0.2">
      <c r="A413" s="173"/>
      <c r="B413" s="174"/>
      <c r="C413" s="175"/>
      <c r="D413" s="176"/>
      <c r="E413" s="176"/>
      <c r="F413" s="176"/>
      <c r="G413" s="176"/>
      <c r="H413" s="176"/>
      <c r="I413" s="167" t="s">
        <v>679</v>
      </c>
      <c r="J413" s="178" t="s">
        <v>275</v>
      </c>
      <c r="K413" s="201">
        <f>6300*5%</f>
        <v>315</v>
      </c>
      <c r="L413" s="180"/>
      <c r="M413" s="181"/>
    </row>
    <row r="414" spans="1:14" x14ac:dyDescent="0.2">
      <c r="A414" s="185"/>
      <c r="B414" s="186"/>
      <c r="C414" s="187"/>
      <c r="D414" s="188"/>
      <c r="E414" s="188"/>
      <c r="F414" s="188"/>
      <c r="G414" s="188"/>
      <c r="H414" s="188"/>
      <c r="I414" s="338"/>
      <c r="J414" s="215"/>
      <c r="K414" s="216">
        <f>SUM(K407:K413)</f>
        <v>6300</v>
      </c>
      <c r="L414" s="192"/>
      <c r="M414" s="193"/>
    </row>
    <row r="415" spans="1:14" x14ac:dyDescent="0.2">
      <c r="A415" s="163">
        <v>112</v>
      </c>
      <c r="B415" s="164" t="s">
        <v>690</v>
      </c>
      <c r="C415" s="165"/>
      <c r="D415" s="166" t="s">
        <v>107</v>
      </c>
      <c r="E415" s="166"/>
      <c r="F415" s="166"/>
      <c r="G415" s="166"/>
      <c r="H415" s="166"/>
      <c r="I415" s="167" t="s">
        <v>691</v>
      </c>
      <c r="J415" s="194" t="s">
        <v>275</v>
      </c>
      <c r="K415" s="206">
        <f>6300*30%</f>
        <v>1890</v>
      </c>
      <c r="L415" s="170" t="s">
        <v>111</v>
      </c>
      <c r="M415" s="171" t="s">
        <v>692</v>
      </c>
    </row>
    <row r="416" spans="1:14" x14ac:dyDescent="0.2">
      <c r="A416" s="173"/>
      <c r="B416" s="174"/>
      <c r="C416" s="175"/>
      <c r="D416" s="176"/>
      <c r="E416" s="176"/>
      <c r="F416" s="176"/>
      <c r="G416" s="176"/>
      <c r="H416" s="176"/>
      <c r="I416" s="177" t="s">
        <v>693</v>
      </c>
      <c r="J416" s="168" t="s">
        <v>275</v>
      </c>
      <c r="K416" s="201">
        <f>6300*5%</f>
        <v>315</v>
      </c>
      <c r="L416" s="180"/>
      <c r="M416" s="181"/>
    </row>
    <row r="417" spans="1:13" x14ac:dyDescent="0.2">
      <c r="A417" s="173"/>
      <c r="B417" s="174"/>
      <c r="C417" s="175"/>
      <c r="D417" s="176"/>
      <c r="E417" s="176"/>
      <c r="F417" s="176"/>
      <c r="G417" s="176"/>
      <c r="H417" s="176"/>
      <c r="I417" s="184" t="s">
        <v>694</v>
      </c>
      <c r="J417" s="178" t="s">
        <v>275</v>
      </c>
      <c r="K417" s="208">
        <f>6300*5%</f>
        <v>315</v>
      </c>
      <c r="L417" s="180"/>
      <c r="M417" s="181"/>
    </row>
    <row r="418" spans="1:13" x14ac:dyDescent="0.2">
      <c r="A418" s="173"/>
      <c r="B418" s="174"/>
      <c r="C418" s="175"/>
      <c r="D418" s="176"/>
      <c r="E418" s="176"/>
      <c r="F418" s="176"/>
      <c r="G418" s="176"/>
      <c r="H418" s="176"/>
      <c r="I418" s="184" t="s">
        <v>695</v>
      </c>
      <c r="J418" s="178" t="s">
        <v>681</v>
      </c>
      <c r="K418" s="208">
        <f>6300*5%</f>
        <v>315</v>
      </c>
      <c r="L418" s="180"/>
      <c r="M418" s="181"/>
    </row>
    <row r="419" spans="1:13" x14ac:dyDescent="0.2">
      <c r="A419" s="173"/>
      <c r="B419" s="174"/>
      <c r="C419" s="175"/>
      <c r="D419" s="176"/>
      <c r="E419" s="176"/>
      <c r="F419" s="176"/>
      <c r="G419" s="176"/>
      <c r="H419" s="176"/>
      <c r="I419" s="184" t="s">
        <v>696</v>
      </c>
      <c r="J419" s="178" t="s">
        <v>275</v>
      </c>
      <c r="K419" s="208">
        <f>6300*50%</f>
        <v>3150</v>
      </c>
      <c r="L419" s="180"/>
      <c r="M419" s="181"/>
    </row>
    <row r="420" spans="1:13" x14ac:dyDescent="0.2">
      <c r="A420" s="173"/>
      <c r="B420" s="174"/>
      <c r="C420" s="175"/>
      <c r="D420" s="176"/>
      <c r="E420" s="176"/>
      <c r="F420" s="176"/>
      <c r="G420" s="176"/>
      <c r="H420" s="176"/>
      <c r="I420" s="167" t="s">
        <v>697</v>
      </c>
      <c r="J420" s="178" t="s">
        <v>275</v>
      </c>
      <c r="K420" s="201">
        <f>6300*5%</f>
        <v>315</v>
      </c>
      <c r="L420" s="180"/>
      <c r="M420" s="181"/>
    </row>
    <row r="421" spans="1:13" x14ac:dyDescent="0.2">
      <c r="A421" s="185"/>
      <c r="B421" s="186"/>
      <c r="C421" s="187"/>
      <c r="D421" s="188"/>
      <c r="E421" s="188"/>
      <c r="F421" s="188"/>
      <c r="G421" s="188"/>
      <c r="H421" s="188"/>
      <c r="I421" s="202"/>
      <c r="J421" s="215"/>
      <c r="K421" s="216">
        <f>SUM(K415:K420)</f>
        <v>6300</v>
      </c>
      <c r="L421" s="192"/>
      <c r="M421" s="193"/>
    </row>
    <row r="422" spans="1:13" x14ac:dyDescent="0.2">
      <c r="A422" s="163">
        <v>113</v>
      </c>
      <c r="B422" s="164" t="s">
        <v>698</v>
      </c>
      <c r="C422" s="165"/>
      <c r="D422" s="166" t="s">
        <v>107</v>
      </c>
      <c r="E422" s="166"/>
      <c r="F422" s="166"/>
      <c r="G422" s="166"/>
      <c r="H422" s="166"/>
      <c r="I422" s="167" t="s">
        <v>699</v>
      </c>
      <c r="J422" s="168" t="s">
        <v>275</v>
      </c>
      <c r="K422" s="169">
        <f>6300*70%</f>
        <v>4410</v>
      </c>
      <c r="L422" s="170" t="s">
        <v>111</v>
      </c>
      <c r="M422" s="171" t="s">
        <v>700</v>
      </c>
    </row>
    <row r="423" spans="1:13" x14ac:dyDescent="0.2">
      <c r="A423" s="173"/>
      <c r="B423" s="174"/>
      <c r="C423" s="175"/>
      <c r="D423" s="176"/>
      <c r="E423" s="176"/>
      <c r="F423" s="176"/>
      <c r="G423" s="176"/>
      <c r="H423" s="176"/>
      <c r="I423" s="184" t="s">
        <v>687</v>
      </c>
      <c r="J423" s="178" t="s">
        <v>275</v>
      </c>
      <c r="K423" s="179">
        <f t="shared" ref="K423:K428" si="8">6300*5%</f>
        <v>315</v>
      </c>
      <c r="L423" s="180"/>
      <c r="M423" s="181"/>
    </row>
    <row r="424" spans="1:13" x14ac:dyDescent="0.2">
      <c r="A424" s="173"/>
      <c r="B424" s="174"/>
      <c r="C424" s="175"/>
      <c r="D424" s="176"/>
      <c r="E424" s="176"/>
      <c r="F424" s="176"/>
      <c r="G424" s="176"/>
      <c r="H424" s="176"/>
      <c r="I424" s="184" t="s">
        <v>701</v>
      </c>
      <c r="J424" s="178" t="s">
        <v>275</v>
      </c>
      <c r="K424" s="208">
        <f t="shared" si="8"/>
        <v>315</v>
      </c>
      <c r="L424" s="180"/>
      <c r="M424" s="181"/>
    </row>
    <row r="425" spans="1:13" x14ac:dyDescent="0.2">
      <c r="A425" s="173"/>
      <c r="B425" s="174"/>
      <c r="C425" s="175"/>
      <c r="D425" s="176"/>
      <c r="E425" s="176"/>
      <c r="F425" s="176"/>
      <c r="G425" s="176"/>
      <c r="H425" s="176"/>
      <c r="I425" s="184" t="s">
        <v>702</v>
      </c>
      <c r="J425" s="168" t="s">
        <v>275</v>
      </c>
      <c r="K425" s="230">
        <f t="shared" si="8"/>
        <v>315</v>
      </c>
      <c r="L425" s="180"/>
      <c r="M425" s="181"/>
    </row>
    <row r="426" spans="1:13" x14ac:dyDescent="0.2">
      <c r="A426" s="173"/>
      <c r="B426" s="174"/>
      <c r="C426" s="175"/>
      <c r="D426" s="176"/>
      <c r="E426" s="176"/>
      <c r="F426" s="176"/>
      <c r="G426" s="176"/>
      <c r="H426" s="176"/>
      <c r="I426" s="184" t="s">
        <v>703</v>
      </c>
      <c r="J426" s="178" t="s">
        <v>599</v>
      </c>
      <c r="K426" s="201">
        <f t="shared" si="8"/>
        <v>315</v>
      </c>
      <c r="L426" s="180"/>
      <c r="M426" s="181"/>
    </row>
    <row r="427" spans="1:13" x14ac:dyDescent="0.2">
      <c r="A427" s="173"/>
      <c r="B427" s="174"/>
      <c r="C427" s="175"/>
      <c r="D427" s="176"/>
      <c r="E427" s="176"/>
      <c r="F427" s="176"/>
      <c r="G427" s="176"/>
      <c r="H427" s="176"/>
      <c r="I427" s="184" t="s">
        <v>704</v>
      </c>
      <c r="J427" s="178" t="s">
        <v>683</v>
      </c>
      <c r="K427" s="179">
        <f t="shared" si="8"/>
        <v>315</v>
      </c>
      <c r="L427" s="180"/>
      <c r="M427" s="181"/>
    </row>
    <row r="428" spans="1:13" x14ac:dyDescent="0.2">
      <c r="A428" s="173"/>
      <c r="B428" s="174"/>
      <c r="C428" s="175"/>
      <c r="D428" s="176"/>
      <c r="E428" s="176"/>
      <c r="F428" s="176"/>
      <c r="G428" s="176"/>
      <c r="H428" s="176"/>
      <c r="I428" s="167" t="s">
        <v>685</v>
      </c>
      <c r="J428" s="168" t="s">
        <v>362</v>
      </c>
      <c r="K428" s="230">
        <f t="shared" si="8"/>
        <v>315</v>
      </c>
      <c r="L428" s="180"/>
      <c r="M428" s="181"/>
    </row>
    <row r="429" spans="1:13" x14ac:dyDescent="0.2">
      <c r="A429" s="185"/>
      <c r="B429" s="186"/>
      <c r="C429" s="187"/>
      <c r="D429" s="188"/>
      <c r="E429" s="188"/>
      <c r="F429" s="188"/>
      <c r="G429" s="188"/>
      <c r="H429" s="188"/>
      <c r="I429" s="202"/>
      <c r="J429" s="190"/>
      <c r="K429" s="209">
        <f>SUM(K422:K428)</f>
        <v>6300</v>
      </c>
      <c r="L429" s="192"/>
      <c r="M429" s="193"/>
    </row>
    <row r="430" spans="1:13" x14ac:dyDescent="0.2">
      <c r="A430" s="163">
        <v>114</v>
      </c>
      <c r="B430" s="164" t="s">
        <v>705</v>
      </c>
      <c r="C430" s="165"/>
      <c r="D430" s="166" t="s">
        <v>107</v>
      </c>
      <c r="E430" s="166"/>
      <c r="F430" s="166"/>
      <c r="G430" s="166"/>
      <c r="H430" s="166"/>
      <c r="I430" s="167" t="s">
        <v>706</v>
      </c>
      <c r="J430" s="168" t="s">
        <v>275</v>
      </c>
      <c r="K430" s="212">
        <f>6300*60%</f>
        <v>3780</v>
      </c>
      <c r="L430" s="170" t="s">
        <v>111</v>
      </c>
      <c r="M430" s="171" t="s">
        <v>707</v>
      </c>
    </row>
    <row r="431" spans="1:13" x14ac:dyDescent="0.2">
      <c r="A431" s="173"/>
      <c r="B431" s="174"/>
      <c r="C431" s="175"/>
      <c r="D431" s="176"/>
      <c r="E431" s="176"/>
      <c r="F431" s="176"/>
      <c r="G431" s="176"/>
      <c r="H431" s="176"/>
      <c r="I431" s="184" t="s">
        <v>708</v>
      </c>
      <c r="J431" s="178" t="s">
        <v>275</v>
      </c>
      <c r="K431" s="201">
        <f t="shared" ref="K431:K438" si="9">6300*5%</f>
        <v>315</v>
      </c>
      <c r="L431" s="180"/>
      <c r="M431" s="181"/>
    </row>
    <row r="432" spans="1:13" x14ac:dyDescent="0.2">
      <c r="A432" s="173"/>
      <c r="B432" s="174"/>
      <c r="C432" s="175"/>
      <c r="D432" s="176"/>
      <c r="E432" s="176"/>
      <c r="F432" s="176"/>
      <c r="G432" s="176"/>
      <c r="H432" s="176"/>
      <c r="I432" s="167" t="s">
        <v>709</v>
      </c>
      <c r="J432" s="178" t="s">
        <v>681</v>
      </c>
      <c r="K432" s="179">
        <f t="shared" si="9"/>
        <v>315</v>
      </c>
      <c r="L432" s="180"/>
      <c r="M432" s="181"/>
    </row>
    <row r="433" spans="1:13" x14ac:dyDescent="0.2">
      <c r="A433" s="173"/>
      <c r="B433" s="174"/>
      <c r="C433" s="175"/>
      <c r="D433" s="176"/>
      <c r="E433" s="176"/>
      <c r="F433" s="176"/>
      <c r="G433" s="176"/>
      <c r="H433" s="176"/>
      <c r="I433" s="184" t="s">
        <v>710</v>
      </c>
      <c r="J433" s="178" t="s">
        <v>275</v>
      </c>
      <c r="K433" s="179">
        <f t="shared" si="9"/>
        <v>315</v>
      </c>
      <c r="L433" s="180"/>
      <c r="M433" s="181"/>
    </row>
    <row r="434" spans="1:13" x14ac:dyDescent="0.2">
      <c r="A434" s="173"/>
      <c r="B434" s="174"/>
      <c r="C434" s="175"/>
      <c r="D434" s="176"/>
      <c r="E434" s="176"/>
      <c r="F434" s="176"/>
      <c r="G434" s="176"/>
      <c r="H434" s="176"/>
      <c r="I434" s="184" t="s">
        <v>711</v>
      </c>
      <c r="J434" s="304" t="s">
        <v>275</v>
      </c>
      <c r="K434" s="179">
        <f t="shared" si="9"/>
        <v>315</v>
      </c>
      <c r="L434" s="180"/>
      <c r="M434" s="181"/>
    </row>
    <row r="435" spans="1:13" x14ac:dyDescent="0.2">
      <c r="A435" s="173"/>
      <c r="B435" s="174"/>
      <c r="C435" s="175"/>
      <c r="D435" s="176"/>
      <c r="E435" s="176"/>
      <c r="F435" s="176"/>
      <c r="G435" s="176"/>
      <c r="H435" s="176"/>
      <c r="I435" s="184" t="s">
        <v>712</v>
      </c>
      <c r="J435" s="168" t="s">
        <v>275</v>
      </c>
      <c r="K435" s="230">
        <f t="shared" si="9"/>
        <v>315</v>
      </c>
      <c r="L435" s="180"/>
      <c r="M435" s="181"/>
    </row>
    <row r="436" spans="1:13" x14ac:dyDescent="0.2">
      <c r="A436" s="173"/>
      <c r="B436" s="174"/>
      <c r="C436" s="175"/>
      <c r="D436" s="176"/>
      <c r="E436" s="176"/>
      <c r="F436" s="176"/>
      <c r="G436" s="176"/>
      <c r="H436" s="176"/>
      <c r="I436" s="167" t="s">
        <v>694</v>
      </c>
      <c r="J436" s="178" t="s">
        <v>275</v>
      </c>
      <c r="K436" s="201">
        <f t="shared" si="9"/>
        <v>315</v>
      </c>
      <c r="L436" s="180"/>
      <c r="M436" s="181"/>
    </row>
    <row r="437" spans="1:13" x14ac:dyDescent="0.2">
      <c r="A437" s="173"/>
      <c r="B437" s="174"/>
      <c r="C437" s="175"/>
      <c r="D437" s="176"/>
      <c r="E437" s="176"/>
      <c r="F437" s="176"/>
      <c r="G437" s="176"/>
      <c r="H437" s="176"/>
      <c r="I437" s="184" t="s">
        <v>713</v>
      </c>
      <c r="J437" s="178" t="s">
        <v>681</v>
      </c>
      <c r="K437" s="208">
        <f t="shared" si="9"/>
        <v>315</v>
      </c>
      <c r="L437" s="180"/>
      <c r="M437" s="181"/>
    </row>
    <row r="438" spans="1:13" x14ac:dyDescent="0.2">
      <c r="A438" s="173"/>
      <c r="B438" s="174"/>
      <c r="C438" s="175"/>
      <c r="D438" s="176"/>
      <c r="E438" s="176"/>
      <c r="F438" s="176"/>
      <c r="G438" s="176"/>
      <c r="H438" s="176"/>
      <c r="I438" s="184" t="s">
        <v>714</v>
      </c>
      <c r="J438" s="178" t="s">
        <v>275</v>
      </c>
      <c r="K438" s="201">
        <f t="shared" si="9"/>
        <v>315</v>
      </c>
      <c r="L438" s="180"/>
      <c r="M438" s="181"/>
    </row>
    <row r="439" spans="1:13" x14ac:dyDescent="0.2">
      <c r="A439" s="185"/>
      <c r="B439" s="186"/>
      <c r="C439" s="187"/>
      <c r="D439" s="188"/>
      <c r="E439" s="188"/>
      <c r="F439" s="188"/>
      <c r="G439" s="188"/>
      <c r="H439" s="188"/>
      <c r="I439" s="189"/>
      <c r="J439" s="215"/>
      <c r="K439" s="216">
        <f>SUM(K430:K438)</f>
        <v>6300</v>
      </c>
      <c r="L439" s="192"/>
      <c r="M439" s="193"/>
    </row>
    <row r="440" spans="1:13" x14ac:dyDescent="0.2">
      <c r="A440" s="163">
        <v>115</v>
      </c>
      <c r="B440" s="164" t="s">
        <v>715</v>
      </c>
      <c r="C440" s="165"/>
      <c r="D440" s="166" t="s">
        <v>107</v>
      </c>
      <c r="E440" s="166"/>
      <c r="F440" s="166"/>
      <c r="G440" s="166"/>
      <c r="H440" s="166"/>
      <c r="I440" s="167" t="s">
        <v>716</v>
      </c>
      <c r="J440" s="194" t="s">
        <v>275</v>
      </c>
      <c r="K440" s="206">
        <f>6300*15%</f>
        <v>945</v>
      </c>
      <c r="L440" s="170" t="s">
        <v>111</v>
      </c>
      <c r="M440" s="171" t="s">
        <v>717</v>
      </c>
    </row>
    <row r="441" spans="1:13" x14ac:dyDescent="0.2">
      <c r="A441" s="173"/>
      <c r="B441" s="174"/>
      <c r="C441" s="175"/>
      <c r="D441" s="176"/>
      <c r="E441" s="176"/>
      <c r="F441" s="176"/>
      <c r="G441" s="176"/>
      <c r="H441" s="176"/>
      <c r="I441" s="177" t="s">
        <v>718</v>
      </c>
      <c r="J441" s="168" t="s">
        <v>275</v>
      </c>
      <c r="K441" s="201">
        <f>6300*55%</f>
        <v>3465.0000000000005</v>
      </c>
      <c r="L441" s="180"/>
      <c r="M441" s="181"/>
    </row>
    <row r="442" spans="1:13" x14ac:dyDescent="0.2">
      <c r="A442" s="173"/>
      <c r="B442" s="174"/>
      <c r="C442" s="175"/>
      <c r="D442" s="176"/>
      <c r="E442" s="176"/>
      <c r="F442" s="176"/>
      <c r="G442" s="176"/>
      <c r="H442" s="176"/>
      <c r="I442" s="184" t="s">
        <v>719</v>
      </c>
      <c r="J442" s="178" t="s">
        <v>275</v>
      </c>
      <c r="K442" s="179">
        <f t="shared" ref="K442:K447" si="10">6300*5%</f>
        <v>315</v>
      </c>
      <c r="L442" s="180"/>
      <c r="M442" s="181"/>
    </row>
    <row r="443" spans="1:13" x14ac:dyDescent="0.2">
      <c r="A443" s="173"/>
      <c r="B443" s="174"/>
      <c r="C443" s="175"/>
      <c r="D443" s="176"/>
      <c r="E443" s="176"/>
      <c r="F443" s="176"/>
      <c r="G443" s="176"/>
      <c r="H443" s="176"/>
      <c r="I443" s="167" t="s">
        <v>720</v>
      </c>
      <c r="J443" s="168" t="s">
        <v>275</v>
      </c>
      <c r="K443" s="182">
        <f t="shared" si="10"/>
        <v>315</v>
      </c>
      <c r="L443" s="180"/>
      <c r="M443" s="181"/>
    </row>
    <row r="444" spans="1:13" x14ac:dyDescent="0.2">
      <c r="A444" s="173"/>
      <c r="B444" s="174"/>
      <c r="C444" s="175"/>
      <c r="D444" s="176"/>
      <c r="E444" s="176"/>
      <c r="F444" s="176"/>
      <c r="G444" s="176"/>
      <c r="H444" s="176"/>
      <c r="I444" s="177" t="s">
        <v>721</v>
      </c>
      <c r="J444" s="183" t="s">
        <v>275</v>
      </c>
      <c r="K444" s="208">
        <f t="shared" si="10"/>
        <v>315</v>
      </c>
      <c r="L444" s="180"/>
      <c r="M444" s="181"/>
    </row>
    <row r="445" spans="1:13" x14ac:dyDescent="0.2">
      <c r="A445" s="173"/>
      <c r="B445" s="174"/>
      <c r="C445" s="175"/>
      <c r="D445" s="176"/>
      <c r="E445" s="176"/>
      <c r="F445" s="176"/>
      <c r="G445" s="176"/>
      <c r="H445" s="176"/>
      <c r="I445" s="184" t="s">
        <v>722</v>
      </c>
      <c r="J445" s="178" t="s">
        <v>275</v>
      </c>
      <c r="K445" s="208">
        <f t="shared" si="10"/>
        <v>315</v>
      </c>
      <c r="L445" s="180"/>
      <c r="M445" s="181"/>
    </row>
    <row r="446" spans="1:13" x14ac:dyDescent="0.2">
      <c r="A446" s="173"/>
      <c r="B446" s="174"/>
      <c r="C446" s="175"/>
      <c r="D446" s="176"/>
      <c r="E446" s="176"/>
      <c r="F446" s="176"/>
      <c r="G446" s="176"/>
      <c r="H446" s="176"/>
      <c r="I446" s="184" t="s">
        <v>723</v>
      </c>
      <c r="J446" s="183" t="s">
        <v>275</v>
      </c>
      <c r="K446" s="208">
        <f t="shared" si="10"/>
        <v>315</v>
      </c>
      <c r="L446" s="180"/>
      <c r="M446" s="181"/>
    </row>
    <row r="447" spans="1:13" x14ac:dyDescent="0.2">
      <c r="A447" s="173"/>
      <c r="B447" s="174"/>
      <c r="C447" s="175"/>
      <c r="D447" s="176"/>
      <c r="E447" s="176"/>
      <c r="F447" s="176"/>
      <c r="G447" s="176"/>
      <c r="H447" s="176"/>
      <c r="I447" s="184" t="s">
        <v>724</v>
      </c>
      <c r="J447" s="178" t="s">
        <v>275</v>
      </c>
      <c r="K447" s="201">
        <f t="shared" si="10"/>
        <v>315</v>
      </c>
      <c r="L447" s="180"/>
      <c r="M447" s="181"/>
    </row>
    <row r="448" spans="1:13" x14ac:dyDescent="0.2">
      <c r="A448" s="185"/>
      <c r="B448" s="186"/>
      <c r="C448" s="187"/>
      <c r="D448" s="188"/>
      <c r="E448" s="188"/>
      <c r="F448" s="188"/>
      <c r="G448" s="188"/>
      <c r="H448" s="188"/>
      <c r="I448" s="189"/>
      <c r="J448" s="190"/>
      <c r="K448" s="191">
        <f>SUM(K440:K447)</f>
        <v>6300</v>
      </c>
      <c r="L448" s="192"/>
      <c r="M448" s="193"/>
    </row>
    <row r="449" spans="1:13" ht="51.75" customHeight="1" x14ac:dyDescent="0.2">
      <c r="A449" s="305">
        <v>116</v>
      </c>
      <c r="B449" s="164" t="s">
        <v>725</v>
      </c>
      <c r="C449" s="165"/>
      <c r="D449" s="308" t="s">
        <v>107</v>
      </c>
      <c r="E449" s="308"/>
      <c r="F449" s="308"/>
      <c r="G449" s="308"/>
      <c r="H449" s="308"/>
      <c r="I449" s="282" t="s">
        <v>726</v>
      </c>
      <c r="J449" s="302" t="s">
        <v>275</v>
      </c>
      <c r="K449" s="169">
        <f>6300*100%</f>
        <v>6300</v>
      </c>
      <c r="L449" s="309" t="s">
        <v>111</v>
      </c>
      <c r="M449" s="261" t="s">
        <v>727</v>
      </c>
    </row>
    <row r="450" spans="1:13" ht="68.25" customHeight="1" x14ac:dyDescent="0.2">
      <c r="A450" s="305">
        <v>117</v>
      </c>
      <c r="B450" s="164" t="s">
        <v>728</v>
      </c>
      <c r="C450" s="165"/>
      <c r="D450" s="308" t="s">
        <v>107</v>
      </c>
      <c r="E450" s="308"/>
      <c r="F450" s="308"/>
      <c r="G450" s="308"/>
      <c r="H450" s="308"/>
      <c r="I450" s="282" t="s">
        <v>726</v>
      </c>
      <c r="J450" s="168" t="s">
        <v>275</v>
      </c>
      <c r="K450" s="169">
        <f>6300*100%</f>
        <v>6300</v>
      </c>
      <c r="L450" s="309" t="s">
        <v>111</v>
      </c>
      <c r="M450" s="261" t="s">
        <v>729</v>
      </c>
    </row>
    <row r="451" spans="1:13" x14ac:dyDescent="0.2">
      <c r="A451" s="163">
        <v>118</v>
      </c>
      <c r="B451" s="164" t="s">
        <v>730</v>
      </c>
      <c r="C451" s="165"/>
      <c r="D451" s="166" t="s">
        <v>107</v>
      </c>
      <c r="E451" s="166"/>
      <c r="F451" s="166"/>
      <c r="G451" s="166"/>
      <c r="H451" s="166"/>
      <c r="I451" s="167" t="s">
        <v>731</v>
      </c>
      <c r="J451" s="194" t="s">
        <v>275</v>
      </c>
      <c r="K451" s="169">
        <f>6300*80%</f>
        <v>5040</v>
      </c>
      <c r="L451" s="195" t="s">
        <v>111</v>
      </c>
      <c r="M451" s="171" t="s">
        <v>732</v>
      </c>
    </row>
    <row r="452" spans="1:13" x14ac:dyDescent="0.2">
      <c r="A452" s="173"/>
      <c r="B452" s="174"/>
      <c r="C452" s="175"/>
      <c r="D452" s="176"/>
      <c r="E452" s="176"/>
      <c r="F452" s="176"/>
      <c r="G452" s="176"/>
      <c r="H452" s="176"/>
      <c r="I452" s="177" t="s">
        <v>733</v>
      </c>
      <c r="J452" s="304" t="s">
        <v>275</v>
      </c>
      <c r="K452" s="200">
        <f>6300*5%</f>
        <v>315</v>
      </c>
      <c r="L452" s="197"/>
      <c r="M452" s="181"/>
    </row>
    <row r="453" spans="1:13" x14ac:dyDescent="0.2">
      <c r="A453" s="173"/>
      <c r="B453" s="174"/>
      <c r="C453" s="175"/>
      <c r="D453" s="176"/>
      <c r="E453" s="176"/>
      <c r="F453" s="176"/>
      <c r="G453" s="176"/>
      <c r="H453" s="176"/>
      <c r="I453" s="177" t="s">
        <v>734</v>
      </c>
      <c r="J453" s="168" t="s">
        <v>275</v>
      </c>
      <c r="K453" s="201">
        <f>6300*5%</f>
        <v>315</v>
      </c>
      <c r="L453" s="197"/>
      <c r="M453" s="181"/>
    </row>
    <row r="454" spans="1:13" x14ac:dyDescent="0.2">
      <c r="A454" s="173"/>
      <c r="B454" s="174"/>
      <c r="C454" s="175"/>
      <c r="D454" s="176"/>
      <c r="E454" s="176"/>
      <c r="F454" s="176"/>
      <c r="G454" s="176"/>
      <c r="H454" s="176"/>
      <c r="I454" s="184" t="s">
        <v>708</v>
      </c>
      <c r="J454" s="178" t="s">
        <v>275</v>
      </c>
      <c r="K454" s="198">
        <f>6300*5%</f>
        <v>315</v>
      </c>
      <c r="L454" s="197"/>
      <c r="M454" s="181"/>
    </row>
    <row r="455" spans="1:13" x14ac:dyDescent="0.2">
      <c r="A455" s="173"/>
      <c r="B455" s="174"/>
      <c r="C455" s="175"/>
      <c r="D455" s="176"/>
      <c r="E455" s="176"/>
      <c r="F455" s="176"/>
      <c r="G455" s="176"/>
      <c r="H455" s="176"/>
      <c r="I455" s="167" t="s">
        <v>709</v>
      </c>
      <c r="J455" s="178" t="s">
        <v>681</v>
      </c>
      <c r="K455" s="200">
        <f>6300*5%</f>
        <v>315</v>
      </c>
      <c r="L455" s="197"/>
      <c r="M455" s="181"/>
    </row>
    <row r="456" spans="1:13" x14ac:dyDescent="0.2">
      <c r="A456" s="185"/>
      <c r="B456" s="186"/>
      <c r="C456" s="187"/>
      <c r="D456" s="188"/>
      <c r="E456" s="188"/>
      <c r="F456" s="188"/>
      <c r="G456" s="188"/>
      <c r="H456" s="188"/>
      <c r="I456" s="202"/>
      <c r="J456" s="215"/>
      <c r="K456" s="209">
        <f>SUM(K451:K455)</f>
        <v>6300</v>
      </c>
      <c r="L456" s="205"/>
      <c r="M456" s="193"/>
    </row>
    <row r="457" spans="1:13" x14ac:dyDescent="0.2">
      <c r="A457" s="163">
        <v>119</v>
      </c>
      <c r="B457" s="164" t="s">
        <v>735</v>
      </c>
      <c r="C457" s="165"/>
      <c r="D457" s="166" t="s">
        <v>107</v>
      </c>
      <c r="E457" s="166"/>
      <c r="F457" s="166"/>
      <c r="G457" s="166"/>
      <c r="H457" s="166"/>
      <c r="I457" s="167" t="s">
        <v>736</v>
      </c>
      <c r="J457" s="168" t="s">
        <v>275</v>
      </c>
      <c r="K457" s="212">
        <f>6300*60%</f>
        <v>3780</v>
      </c>
      <c r="L457" s="170" t="s">
        <v>111</v>
      </c>
      <c r="M457" s="171" t="s">
        <v>737</v>
      </c>
    </row>
    <row r="458" spans="1:13" x14ac:dyDescent="0.2">
      <c r="A458" s="173"/>
      <c r="B458" s="174"/>
      <c r="C458" s="175"/>
      <c r="D458" s="176"/>
      <c r="E458" s="176"/>
      <c r="F458" s="176"/>
      <c r="G458" s="176"/>
      <c r="H458" s="176"/>
      <c r="I458" s="184" t="s">
        <v>738</v>
      </c>
      <c r="J458" s="183" t="s">
        <v>275</v>
      </c>
      <c r="K458" s="201">
        <f>6300*10%</f>
        <v>630</v>
      </c>
      <c r="L458" s="180"/>
      <c r="M458" s="181"/>
    </row>
    <row r="459" spans="1:13" x14ac:dyDescent="0.2">
      <c r="A459" s="173"/>
      <c r="B459" s="174"/>
      <c r="C459" s="175"/>
      <c r="D459" s="176"/>
      <c r="E459" s="176"/>
      <c r="F459" s="176"/>
      <c r="G459" s="176"/>
      <c r="H459" s="176"/>
      <c r="I459" s="167" t="s">
        <v>739</v>
      </c>
      <c r="J459" s="178" t="s">
        <v>275</v>
      </c>
      <c r="K459" s="208">
        <f>6300*10%</f>
        <v>630</v>
      </c>
      <c r="L459" s="180"/>
      <c r="M459" s="181"/>
    </row>
    <row r="460" spans="1:13" x14ac:dyDescent="0.2">
      <c r="A460" s="173"/>
      <c r="B460" s="174"/>
      <c r="C460" s="175"/>
      <c r="D460" s="176"/>
      <c r="E460" s="176"/>
      <c r="F460" s="176"/>
      <c r="G460" s="176"/>
      <c r="H460" s="176"/>
      <c r="I460" s="184" t="s">
        <v>740</v>
      </c>
      <c r="J460" s="168" t="s">
        <v>275</v>
      </c>
      <c r="K460" s="230">
        <f>6300*10%</f>
        <v>630</v>
      </c>
      <c r="L460" s="180"/>
      <c r="M460" s="181"/>
    </row>
    <row r="461" spans="1:13" x14ac:dyDescent="0.2">
      <c r="A461" s="173"/>
      <c r="B461" s="174"/>
      <c r="C461" s="175"/>
      <c r="D461" s="176"/>
      <c r="E461" s="176"/>
      <c r="F461" s="176"/>
      <c r="G461" s="176"/>
      <c r="H461" s="176"/>
      <c r="I461" s="167" t="s">
        <v>741</v>
      </c>
      <c r="J461" s="183" t="s">
        <v>683</v>
      </c>
      <c r="K461" s="208">
        <f>6300*10%</f>
        <v>630</v>
      </c>
      <c r="L461" s="180"/>
      <c r="M461" s="181"/>
    </row>
    <row r="462" spans="1:13" x14ac:dyDescent="0.2">
      <c r="A462" s="185"/>
      <c r="B462" s="186"/>
      <c r="C462" s="187"/>
      <c r="D462" s="188"/>
      <c r="E462" s="188"/>
      <c r="F462" s="188"/>
      <c r="G462" s="188"/>
      <c r="H462" s="188"/>
      <c r="I462" s="202"/>
      <c r="J462" s="190"/>
      <c r="K462" s="209">
        <f>SUM(K457:K461)</f>
        <v>6300</v>
      </c>
      <c r="L462" s="192"/>
      <c r="M462" s="193"/>
    </row>
    <row r="463" spans="1:13" x14ac:dyDescent="0.2">
      <c r="A463" s="163">
        <v>120</v>
      </c>
      <c r="B463" s="164" t="s">
        <v>742</v>
      </c>
      <c r="C463" s="165"/>
      <c r="D463" s="166" t="s">
        <v>107</v>
      </c>
      <c r="E463" s="166"/>
      <c r="F463" s="166"/>
      <c r="G463" s="166"/>
      <c r="H463" s="166"/>
      <c r="I463" s="217" t="s">
        <v>743</v>
      </c>
      <c r="J463" s="168" t="s">
        <v>275</v>
      </c>
      <c r="K463" s="169">
        <f>6300*90%</f>
        <v>5670</v>
      </c>
      <c r="L463" s="195" t="s">
        <v>111</v>
      </c>
      <c r="M463" s="171" t="s">
        <v>744</v>
      </c>
    </row>
    <row r="464" spans="1:13" x14ac:dyDescent="0.2">
      <c r="A464" s="173"/>
      <c r="B464" s="174"/>
      <c r="C464" s="175"/>
      <c r="D464" s="176"/>
      <c r="E464" s="176"/>
      <c r="F464" s="176"/>
      <c r="G464" s="176"/>
      <c r="H464" s="176"/>
      <c r="I464" s="167" t="s">
        <v>745</v>
      </c>
      <c r="J464" s="183" t="s">
        <v>275</v>
      </c>
      <c r="K464" s="200">
        <f>6300*10%</f>
        <v>630</v>
      </c>
      <c r="L464" s="197"/>
      <c r="M464" s="181"/>
    </row>
    <row r="465" spans="1:14" x14ac:dyDescent="0.2">
      <c r="A465" s="185"/>
      <c r="B465" s="186"/>
      <c r="C465" s="187"/>
      <c r="D465" s="188"/>
      <c r="E465" s="188"/>
      <c r="F465" s="188"/>
      <c r="G465" s="188"/>
      <c r="H465" s="188"/>
      <c r="I465" s="202"/>
      <c r="J465" s="190"/>
      <c r="K465" s="209">
        <f>SUM(K463:K464)</f>
        <v>6300</v>
      </c>
      <c r="L465" s="205"/>
      <c r="M465" s="193"/>
    </row>
    <row r="466" spans="1:14" x14ac:dyDescent="0.2">
      <c r="A466" s="163">
        <v>121</v>
      </c>
      <c r="B466" s="164" t="s">
        <v>746</v>
      </c>
      <c r="C466" s="165"/>
      <c r="D466" s="166" t="s">
        <v>107</v>
      </c>
      <c r="E466" s="166"/>
      <c r="F466" s="166"/>
      <c r="G466" s="166"/>
      <c r="H466" s="166"/>
      <c r="I466" s="167" t="s">
        <v>747</v>
      </c>
      <c r="J466" s="194" t="s">
        <v>275</v>
      </c>
      <c r="K466" s="206">
        <f>6300*70%</f>
        <v>4410</v>
      </c>
      <c r="L466" s="170" t="s">
        <v>111</v>
      </c>
      <c r="M466" s="171" t="s">
        <v>748</v>
      </c>
    </row>
    <row r="467" spans="1:14" x14ac:dyDescent="0.2">
      <c r="A467" s="173"/>
      <c r="B467" s="174"/>
      <c r="C467" s="175"/>
      <c r="D467" s="176"/>
      <c r="E467" s="176"/>
      <c r="F467" s="176"/>
      <c r="G467" s="176"/>
      <c r="H467" s="176"/>
      <c r="I467" s="177" t="s">
        <v>745</v>
      </c>
      <c r="J467" s="168" t="s">
        <v>275</v>
      </c>
      <c r="K467" s="201">
        <f>6300*10%</f>
        <v>630</v>
      </c>
      <c r="L467" s="180"/>
      <c r="M467" s="181"/>
    </row>
    <row r="468" spans="1:14" x14ac:dyDescent="0.2">
      <c r="A468" s="173"/>
      <c r="B468" s="174"/>
      <c r="C468" s="175"/>
      <c r="D468" s="176"/>
      <c r="E468" s="176"/>
      <c r="F468" s="176"/>
      <c r="G468" s="176"/>
      <c r="H468" s="176"/>
      <c r="I468" s="184" t="s">
        <v>749</v>
      </c>
      <c r="J468" s="178" t="s">
        <v>681</v>
      </c>
      <c r="K468" s="179">
        <f>6300*10%</f>
        <v>630</v>
      </c>
      <c r="L468" s="180"/>
      <c r="M468" s="181"/>
    </row>
    <row r="469" spans="1:14" x14ac:dyDescent="0.2">
      <c r="A469" s="173"/>
      <c r="B469" s="174"/>
      <c r="C469" s="175"/>
      <c r="D469" s="176"/>
      <c r="E469" s="176"/>
      <c r="F469" s="176"/>
      <c r="G469" s="176"/>
      <c r="H469" s="176"/>
      <c r="I469" s="167" t="s">
        <v>750</v>
      </c>
      <c r="J469" s="178" t="s">
        <v>275</v>
      </c>
      <c r="K469" s="179">
        <f>6300*10%</f>
        <v>630</v>
      </c>
      <c r="L469" s="180"/>
      <c r="M469" s="181"/>
    </row>
    <row r="470" spans="1:14" x14ac:dyDescent="0.2">
      <c r="A470" s="185"/>
      <c r="B470" s="186"/>
      <c r="C470" s="187"/>
      <c r="D470" s="188"/>
      <c r="E470" s="188"/>
      <c r="F470" s="188"/>
      <c r="G470" s="188"/>
      <c r="H470" s="188"/>
      <c r="I470" s="202"/>
      <c r="J470" s="190"/>
      <c r="K470" s="191">
        <f>SUM(K466:K469)</f>
        <v>6300</v>
      </c>
      <c r="L470" s="192"/>
      <c r="M470" s="193"/>
    </row>
    <row r="471" spans="1:14" x14ac:dyDescent="0.2">
      <c r="A471" s="163">
        <v>122</v>
      </c>
      <c r="B471" s="164" t="s">
        <v>751</v>
      </c>
      <c r="C471" s="165"/>
      <c r="D471" s="166" t="s">
        <v>163</v>
      </c>
      <c r="E471" s="166"/>
      <c r="F471" s="166"/>
      <c r="G471" s="166"/>
      <c r="H471" s="166"/>
      <c r="I471" s="217" t="s">
        <v>752</v>
      </c>
      <c r="J471" s="194" t="s">
        <v>275</v>
      </c>
      <c r="K471" s="169">
        <f>100000*50%</f>
        <v>50000</v>
      </c>
      <c r="L471" s="170" t="s">
        <v>166</v>
      </c>
      <c r="M471" s="171" t="s">
        <v>753</v>
      </c>
      <c r="N471" s="172"/>
    </row>
    <row r="472" spans="1:14" x14ac:dyDescent="0.2">
      <c r="A472" s="173"/>
      <c r="B472" s="174"/>
      <c r="C472" s="175"/>
      <c r="D472" s="176"/>
      <c r="E472" s="176"/>
      <c r="F472" s="176"/>
      <c r="G472" s="176"/>
      <c r="H472" s="176"/>
      <c r="I472" s="184" t="s">
        <v>754</v>
      </c>
      <c r="J472" s="168" t="s">
        <v>683</v>
      </c>
      <c r="K472" s="230">
        <f>100000*10%</f>
        <v>10000</v>
      </c>
      <c r="L472" s="180"/>
      <c r="M472" s="181"/>
    </row>
    <row r="473" spans="1:14" x14ac:dyDescent="0.2">
      <c r="A473" s="173"/>
      <c r="B473" s="174"/>
      <c r="C473" s="175"/>
      <c r="D473" s="176"/>
      <c r="E473" s="176"/>
      <c r="F473" s="176"/>
      <c r="G473" s="176"/>
      <c r="H473" s="176"/>
      <c r="I473" s="167" t="s">
        <v>755</v>
      </c>
      <c r="J473" s="178" t="s">
        <v>683</v>
      </c>
      <c r="K473" s="201">
        <f>100000*10%</f>
        <v>10000</v>
      </c>
      <c r="L473" s="180"/>
      <c r="M473" s="181"/>
    </row>
    <row r="474" spans="1:14" x14ac:dyDescent="0.2">
      <c r="A474" s="173"/>
      <c r="B474" s="174"/>
      <c r="C474" s="175"/>
      <c r="D474" s="176"/>
      <c r="E474" s="176"/>
      <c r="F474" s="176"/>
      <c r="G474" s="176"/>
      <c r="H474" s="176"/>
      <c r="I474" s="177" t="s">
        <v>756</v>
      </c>
      <c r="J474" s="168" t="s">
        <v>683</v>
      </c>
      <c r="K474" s="182">
        <f>100000*10%</f>
        <v>10000</v>
      </c>
      <c r="L474" s="180"/>
      <c r="M474" s="181"/>
    </row>
    <row r="475" spans="1:14" x14ac:dyDescent="0.2">
      <c r="A475" s="173"/>
      <c r="B475" s="174"/>
      <c r="C475" s="175"/>
      <c r="D475" s="176"/>
      <c r="E475" s="176"/>
      <c r="F475" s="176"/>
      <c r="G475" s="176"/>
      <c r="H475" s="176"/>
      <c r="I475" s="177" t="s">
        <v>757</v>
      </c>
      <c r="J475" s="178" t="s">
        <v>683</v>
      </c>
      <c r="K475" s="179">
        <f>100000*10%</f>
        <v>10000</v>
      </c>
      <c r="L475" s="180"/>
      <c r="M475" s="181"/>
    </row>
    <row r="476" spans="1:14" x14ac:dyDescent="0.2">
      <c r="A476" s="173"/>
      <c r="B476" s="174"/>
      <c r="C476" s="175"/>
      <c r="D476" s="176"/>
      <c r="E476" s="176"/>
      <c r="F476" s="176"/>
      <c r="G476" s="176"/>
      <c r="H476" s="176"/>
      <c r="I476" s="184" t="s">
        <v>758</v>
      </c>
      <c r="J476" s="168" t="s">
        <v>556</v>
      </c>
      <c r="K476" s="182">
        <f>100000*5%</f>
        <v>5000</v>
      </c>
      <c r="L476" s="180"/>
      <c r="M476" s="181"/>
      <c r="N476" s="172"/>
    </row>
    <row r="477" spans="1:14" x14ac:dyDescent="0.2">
      <c r="A477" s="173"/>
      <c r="B477" s="174"/>
      <c r="C477" s="175"/>
      <c r="D477" s="176"/>
      <c r="E477" s="176"/>
      <c r="F477" s="176"/>
      <c r="G477" s="176"/>
      <c r="H477" s="176"/>
      <c r="I477" s="184" t="s">
        <v>759</v>
      </c>
      <c r="J477" s="178" t="s">
        <v>556</v>
      </c>
      <c r="K477" s="208">
        <f>100000*5%</f>
        <v>5000</v>
      </c>
      <c r="L477" s="180"/>
      <c r="M477" s="181"/>
    </row>
    <row r="478" spans="1:14" x14ac:dyDescent="0.2">
      <c r="A478" s="185"/>
      <c r="B478" s="186"/>
      <c r="C478" s="187"/>
      <c r="D478" s="188"/>
      <c r="E478" s="188"/>
      <c r="F478" s="188"/>
      <c r="G478" s="188"/>
      <c r="H478" s="188"/>
      <c r="I478" s="189"/>
      <c r="J478" s="190"/>
      <c r="K478" s="209">
        <f>SUM(K471:K477)</f>
        <v>100000</v>
      </c>
      <c r="L478" s="192"/>
      <c r="M478" s="193"/>
    </row>
    <row r="479" spans="1:14" x14ac:dyDescent="0.2">
      <c r="A479" s="163">
        <v>123</v>
      </c>
      <c r="B479" s="164" t="s">
        <v>760</v>
      </c>
      <c r="C479" s="165"/>
      <c r="D479" s="166" t="s">
        <v>163</v>
      </c>
      <c r="E479" s="166"/>
      <c r="F479" s="166"/>
      <c r="G479" s="166"/>
      <c r="H479" s="166"/>
      <c r="I479" s="217" t="s">
        <v>761</v>
      </c>
      <c r="J479" s="168" t="s">
        <v>275</v>
      </c>
      <c r="K479" s="212">
        <f>154000*80%</f>
        <v>123200</v>
      </c>
      <c r="L479" s="170" t="s">
        <v>166</v>
      </c>
      <c r="M479" s="171" t="s">
        <v>762</v>
      </c>
    </row>
    <row r="480" spans="1:14" x14ac:dyDescent="0.2">
      <c r="A480" s="173"/>
      <c r="B480" s="174"/>
      <c r="C480" s="175"/>
      <c r="D480" s="176"/>
      <c r="E480" s="176"/>
      <c r="F480" s="176"/>
      <c r="G480" s="176"/>
      <c r="H480" s="176"/>
      <c r="I480" s="167" t="s">
        <v>763</v>
      </c>
      <c r="J480" s="178" t="s">
        <v>683</v>
      </c>
      <c r="K480" s="208">
        <f>154000*5%</f>
        <v>7700</v>
      </c>
      <c r="L480" s="180"/>
      <c r="M480" s="181"/>
    </row>
    <row r="481" spans="1:14" x14ac:dyDescent="0.2">
      <c r="A481" s="173"/>
      <c r="B481" s="174"/>
      <c r="C481" s="175"/>
      <c r="D481" s="176"/>
      <c r="E481" s="176"/>
      <c r="F481" s="176"/>
      <c r="G481" s="176"/>
      <c r="H481" s="176"/>
      <c r="I481" s="184" t="s">
        <v>764</v>
      </c>
      <c r="J481" s="168" t="s">
        <v>683</v>
      </c>
      <c r="K481" s="201">
        <f>154000*5%</f>
        <v>7700</v>
      </c>
      <c r="L481" s="180"/>
      <c r="M481" s="181"/>
    </row>
    <row r="482" spans="1:14" x14ac:dyDescent="0.2">
      <c r="A482" s="173"/>
      <c r="B482" s="174"/>
      <c r="C482" s="175"/>
      <c r="D482" s="176"/>
      <c r="E482" s="176"/>
      <c r="F482" s="176"/>
      <c r="G482" s="176"/>
      <c r="H482" s="176"/>
      <c r="I482" s="184" t="s">
        <v>765</v>
      </c>
      <c r="J482" s="178" t="s">
        <v>683</v>
      </c>
      <c r="K482" s="208">
        <f>154000*5%</f>
        <v>7700</v>
      </c>
      <c r="L482" s="180"/>
      <c r="M482" s="181"/>
    </row>
    <row r="483" spans="1:14" x14ac:dyDescent="0.2">
      <c r="A483" s="173"/>
      <c r="B483" s="174"/>
      <c r="C483" s="175"/>
      <c r="D483" s="176"/>
      <c r="E483" s="176"/>
      <c r="F483" s="176"/>
      <c r="G483" s="176"/>
      <c r="H483" s="176"/>
      <c r="I483" s="167" t="s">
        <v>766</v>
      </c>
      <c r="J483" s="178" t="s">
        <v>683</v>
      </c>
      <c r="K483" s="201">
        <f>154000*5%</f>
        <v>7700</v>
      </c>
      <c r="L483" s="180"/>
      <c r="M483" s="181"/>
    </row>
    <row r="484" spans="1:14" x14ac:dyDescent="0.2">
      <c r="A484" s="185"/>
      <c r="B484" s="186"/>
      <c r="C484" s="187"/>
      <c r="D484" s="188"/>
      <c r="E484" s="188"/>
      <c r="F484" s="188"/>
      <c r="G484" s="188"/>
      <c r="H484" s="188"/>
      <c r="I484" s="202"/>
      <c r="J484" s="215"/>
      <c r="K484" s="216">
        <f>SUM(K479:K483)</f>
        <v>154000</v>
      </c>
      <c r="L484" s="192"/>
      <c r="M484" s="193"/>
    </row>
    <row r="485" spans="1:14" ht="21.75" customHeight="1" x14ac:dyDescent="0.2">
      <c r="A485" s="163">
        <v>124</v>
      </c>
      <c r="B485" s="164" t="s">
        <v>767</v>
      </c>
      <c r="C485" s="165"/>
      <c r="D485" s="166" t="s">
        <v>25</v>
      </c>
      <c r="E485" s="166"/>
      <c r="F485" s="166"/>
      <c r="G485" s="166" t="s">
        <v>768</v>
      </c>
      <c r="H485" s="166" t="s">
        <v>769</v>
      </c>
      <c r="I485" s="339" t="s">
        <v>770</v>
      </c>
      <c r="J485" s="223" t="s">
        <v>771</v>
      </c>
      <c r="K485" s="278">
        <f>2068000*80%</f>
        <v>1654400</v>
      </c>
      <c r="L485" s="171" t="s">
        <v>772</v>
      </c>
      <c r="M485" s="171" t="s">
        <v>773</v>
      </c>
    </row>
    <row r="486" spans="1:14" x14ac:dyDescent="0.2">
      <c r="A486" s="173"/>
      <c r="B486" s="174"/>
      <c r="C486" s="175"/>
      <c r="D486" s="176"/>
      <c r="E486" s="176"/>
      <c r="F486" s="176"/>
      <c r="G486" s="176"/>
      <c r="H486" s="176"/>
      <c r="I486" s="340" t="s">
        <v>774</v>
      </c>
      <c r="J486" s="207" t="s">
        <v>662</v>
      </c>
      <c r="K486" s="278">
        <f>K488*10%</f>
        <v>206800</v>
      </c>
      <c r="L486" s="181"/>
      <c r="M486" s="181"/>
      <c r="N486" s="172"/>
    </row>
    <row r="487" spans="1:14" x14ac:dyDescent="0.2">
      <c r="A487" s="173"/>
      <c r="B487" s="174"/>
      <c r="C487" s="175"/>
      <c r="D487" s="176"/>
      <c r="E487" s="176"/>
      <c r="F487" s="176"/>
      <c r="G487" s="176"/>
      <c r="H487" s="176"/>
      <c r="I487" s="341" t="s">
        <v>775</v>
      </c>
      <c r="J487" s="168" t="s">
        <v>662</v>
      </c>
      <c r="K487" s="278">
        <f>K488*10%</f>
        <v>206800</v>
      </c>
      <c r="L487" s="181"/>
      <c r="M487" s="181"/>
    </row>
    <row r="488" spans="1:14" ht="25.5" customHeight="1" x14ac:dyDescent="0.2">
      <c r="A488" s="185"/>
      <c r="B488" s="186"/>
      <c r="C488" s="187"/>
      <c r="D488" s="188"/>
      <c r="E488" s="188"/>
      <c r="F488" s="188"/>
      <c r="G488" s="188"/>
      <c r="H488" s="188"/>
      <c r="I488" s="342"/>
      <c r="J488" s="203"/>
      <c r="K488" s="278">
        <v>2068000</v>
      </c>
      <c r="L488" s="193"/>
      <c r="M488" s="193"/>
    </row>
    <row r="489" spans="1:14" ht="25.5" customHeight="1" x14ac:dyDescent="0.2">
      <c r="A489" s="343">
        <v>125</v>
      </c>
      <c r="B489" s="164" t="s">
        <v>776</v>
      </c>
      <c r="C489" s="165"/>
      <c r="D489" s="252" t="s">
        <v>107</v>
      </c>
      <c r="E489" s="166"/>
      <c r="F489" s="166"/>
      <c r="G489" s="166"/>
      <c r="H489" s="166"/>
      <c r="I489" s="217" t="s">
        <v>777</v>
      </c>
      <c r="J489" s="168" t="s">
        <v>275</v>
      </c>
      <c r="K489" s="212">
        <f>6300*60%</f>
        <v>3780</v>
      </c>
      <c r="L489" s="170" t="s">
        <v>111</v>
      </c>
      <c r="M489" s="171" t="s">
        <v>778</v>
      </c>
    </row>
    <row r="490" spans="1:14" ht="25.5" customHeight="1" x14ac:dyDescent="0.2">
      <c r="A490" s="343"/>
      <c r="B490" s="174"/>
      <c r="C490" s="175"/>
      <c r="D490" s="245"/>
      <c r="E490" s="176"/>
      <c r="F490" s="176"/>
      <c r="G490" s="176"/>
      <c r="H490" s="176"/>
      <c r="I490" s="167" t="s">
        <v>779</v>
      </c>
      <c r="J490" s="178" t="s">
        <v>275</v>
      </c>
      <c r="K490" s="201">
        <f>6300*10%</f>
        <v>630</v>
      </c>
      <c r="L490" s="180"/>
      <c r="M490" s="181"/>
    </row>
    <row r="491" spans="1:14" ht="25.5" customHeight="1" x14ac:dyDescent="0.2">
      <c r="A491" s="343"/>
      <c r="B491" s="174"/>
      <c r="C491" s="175"/>
      <c r="D491" s="245"/>
      <c r="E491" s="176"/>
      <c r="F491" s="176"/>
      <c r="G491" s="176"/>
      <c r="H491" s="176"/>
      <c r="I491" s="184" t="s">
        <v>739</v>
      </c>
      <c r="J491" s="178" t="s">
        <v>275</v>
      </c>
      <c r="K491" s="179">
        <f>6300*10%</f>
        <v>630</v>
      </c>
      <c r="L491" s="180"/>
      <c r="M491" s="181"/>
    </row>
    <row r="492" spans="1:14" ht="25.5" customHeight="1" x14ac:dyDescent="0.2">
      <c r="A492" s="343"/>
      <c r="B492" s="174"/>
      <c r="C492" s="175"/>
      <c r="D492" s="245"/>
      <c r="E492" s="176"/>
      <c r="F492" s="176"/>
      <c r="G492" s="176"/>
      <c r="H492" s="176"/>
      <c r="I492" s="184" t="s">
        <v>780</v>
      </c>
      <c r="J492" s="178" t="s">
        <v>275</v>
      </c>
      <c r="K492" s="179">
        <f>6300*10%</f>
        <v>630</v>
      </c>
      <c r="L492" s="180"/>
      <c r="M492" s="181"/>
    </row>
    <row r="493" spans="1:14" ht="25.5" customHeight="1" x14ac:dyDescent="0.2">
      <c r="A493" s="343"/>
      <c r="B493" s="174"/>
      <c r="C493" s="175"/>
      <c r="D493" s="245"/>
      <c r="E493" s="176"/>
      <c r="F493" s="176"/>
      <c r="G493" s="176"/>
      <c r="H493" s="176"/>
      <c r="I493" s="184" t="s">
        <v>781</v>
      </c>
      <c r="J493" s="304" t="s">
        <v>275</v>
      </c>
      <c r="K493" s="179">
        <f>6300*10%</f>
        <v>630</v>
      </c>
      <c r="L493" s="180"/>
      <c r="M493" s="181"/>
    </row>
    <row r="494" spans="1:14" ht="25.5" customHeight="1" x14ac:dyDescent="0.2">
      <c r="A494" s="343"/>
      <c r="B494" s="186"/>
      <c r="C494" s="187"/>
      <c r="D494" s="246"/>
      <c r="E494" s="188"/>
      <c r="F494" s="188"/>
      <c r="G494" s="188"/>
      <c r="H494" s="188"/>
      <c r="I494" s="189"/>
      <c r="J494" s="215"/>
      <c r="K494" s="216">
        <f>SUM(K489:K493)</f>
        <v>6300</v>
      </c>
      <c r="L494" s="192"/>
      <c r="M494" s="193"/>
    </row>
    <row r="495" spans="1:14" ht="25.5" customHeight="1" x14ac:dyDescent="0.2">
      <c r="A495" s="343">
        <v>126</v>
      </c>
      <c r="B495" s="164" t="s">
        <v>782</v>
      </c>
      <c r="C495" s="165"/>
      <c r="D495" s="252" t="s">
        <v>107</v>
      </c>
      <c r="E495" s="166"/>
      <c r="F495" s="166"/>
      <c r="G495" s="166"/>
      <c r="H495" s="166"/>
      <c r="I495" s="217" t="s">
        <v>783</v>
      </c>
      <c r="J495" s="194" t="s">
        <v>275</v>
      </c>
      <c r="K495" s="169">
        <f>10500*80%</f>
        <v>8400</v>
      </c>
      <c r="L495" s="170" t="s">
        <v>111</v>
      </c>
      <c r="M495" s="171" t="s">
        <v>784</v>
      </c>
    </row>
    <row r="496" spans="1:14" ht="25.5" customHeight="1" x14ac:dyDescent="0.2">
      <c r="A496" s="343"/>
      <c r="B496" s="174"/>
      <c r="C496" s="175"/>
      <c r="D496" s="245"/>
      <c r="E496" s="176"/>
      <c r="F496" s="176"/>
      <c r="G496" s="176"/>
      <c r="H496" s="176"/>
      <c r="I496" s="184" t="s">
        <v>785</v>
      </c>
      <c r="J496" s="168" t="s">
        <v>576</v>
      </c>
      <c r="K496" s="182">
        <f>10500*20%</f>
        <v>2100</v>
      </c>
      <c r="L496" s="180"/>
      <c r="M496" s="181"/>
    </row>
    <row r="497" spans="1:14" ht="25.5" customHeight="1" x14ac:dyDescent="0.2">
      <c r="A497" s="343"/>
      <c r="B497" s="186"/>
      <c r="C497" s="187"/>
      <c r="D497" s="246"/>
      <c r="E497" s="188"/>
      <c r="F497" s="188"/>
      <c r="G497" s="188"/>
      <c r="H497" s="188"/>
      <c r="I497" s="189"/>
      <c r="J497" s="190"/>
      <c r="K497" s="191">
        <f>SUM(K495:K496)</f>
        <v>10500</v>
      </c>
      <c r="L497" s="192"/>
      <c r="M497" s="193"/>
    </row>
    <row r="498" spans="1:14" ht="25.5" customHeight="1" x14ac:dyDescent="0.2">
      <c r="A498" s="343">
        <v>127</v>
      </c>
      <c r="B498" s="164" t="s">
        <v>786</v>
      </c>
      <c r="C498" s="165"/>
      <c r="D498" s="252" t="s">
        <v>107</v>
      </c>
      <c r="E498" s="166"/>
      <c r="F498" s="166"/>
      <c r="G498" s="166"/>
      <c r="H498" s="166"/>
      <c r="I498" s="167" t="s">
        <v>787</v>
      </c>
      <c r="J498" s="194" t="s">
        <v>275</v>
      </c>
      <c r="K498" s="169">
        <f>18000*10%</f>
        <v>1800</v>
      </c>
      <c r="L498" s="170" t="s">
        <v>111</v>
      </c>
      <c r="M498" s="171" t="s">
        <v>788</v>
      </c>
    </row>
    <row r="499" spans="1:14" ht="25.5" customHeight="1" x14ac:dyDescent="0.2">
      <c r="A499" s="343"/>
      <c r="B499" s="174"/>
      <c r="C499" s="175"/>
      <c r="D499" s="245"/>
      <c r="E499" s="176"/>
      <c r="F499" s="176"/>
      <c r="G499" s="176"/>
      <c r="H499" s="176"/>
      <c r="I499" s="184" t="s">
        <v>789</v>
      </c>
      <c r="J499" s="304" t="s">
        <v>275</v>
      </c>
      <c r="K499" s="208">
        <f>18000*10%</f>
        <v>1800</v>
      </c>
      <c r="L499" s="180"/>
      <c r="M499" s="181"/>
    </row>
    <row r="500" spans="1:14" ht="25.5" customHeight="1" x14ac:dyDescent="0.2">
      <c r="A500" s="343"/>
      <c r="B500" s="174"/>
      <c r="C500" s="175"/>
      <c r="D500" s="245"/>
      <c r="E500" s="176"/>
      <c r="F500" s="176"/>
      <c r="G500" s="176"/>
      <c r="H500" s="176"/>
      <c r="I500" s="167" t="s">
        <v>790</v>
      </c>
      <c r="J500" s="168" t="s">
        <v>791</v>
      </c>
      <c r="K500" s="230">
        <f>18000*10%</f>
        <v>1800</v>
      </c>
      <c r="L500" s="180"/>
      <c r="M500" s="181"/>
      <c r="N500" s="172"/>
    </row>
    <row r="501" spans="1:14" ht="25.5" customHeight="1" x14ac:dyDescent="0.2">
      <c r="A501" s="343"/>
      <c r="B501" s="174"/>
      <c r="C501" s="175"/>
      <c r="D501" s="245"/>
      <c r="E501" s="176"/>
      <c r="F501" s="176"/>
      <c r="G501" s="176"/>
      <c r="H501" s="176"/>
      <c r="I501" s="184" t="s">
        <v>792</v>
      </c>
      <c r="J501" s="178" t="s">
        <v>791</v>
      </c>
      <c r="K501" s="201">
        <f>18000*10%</f>
        <v>1800</v>
      </c>
      <c r="L501" s="180"/>
      <c r="M501" s="181"/>
    </row>
    <row r="502" spans="1:14" ht="25.5" customHeight="1" x14ac:dyDescent="0.2">
      <c r="A502" s="343"/>
      <c r="B502" s="174"/>
      <c r="C502" s="175"/>
      <c r="D502" s="245"/>
      <c r="E502" s="176"/>
      <c r="F502" s="176"/>
      <c r="G502" s="176"/>
      <c r="H502" s="176"/>
      <c r="I502" s="167" t="s">
        <v>793</v>
      </c>
      <c r="J502" s="168" t="s">
        <v>275</v>
      </c>
      <c r="K502" s="182">
        <f>18000*50%</f>
        <v>9000</v>
      </c>
      <c r="L502" s="180"/>
      <c r="M502" s="181"/>
    </row>
    <row r="503" spans="1:14" ht="25.5" customHeight="1" x14ac:dyDescent="0.2">
      <c r="A503" s="343"/>
      <c r="B503" s="174"/>
      <c r="C503" s="175"/>
      <c r="D503" s="245"/>
      <c r="E503" s="176"/>
      <c r="F503" s="176"/>
      <c r="G503" s="176"/>
      <c r="H503" s="176"/>
      <c r="I503" s="177" t="s">
        <v>794</v>
      </c>
      <c r="J503" s="178" t="s">
        <v>791</v>
      </c>
      <c r="K503" s="179">
        <f>18000*10%</f>
        <v>1800</v>
      </c>
      <c r="L503" s="180"/>
      <c r="M503" s="181"/>
    </row>
    <row r="504" spans="1:14" ht="25.5" customHeight="1" x14ac:dyDescent="0.2">
      <c r="A504" s="343"/>
      <c r="B504" s="186"/>
      <c r="C504" s="187"/>
      <c r="D504" s="246"/>
      <c r="E504" s="188"/>
      <c r="F504" s="188"/>
      <c r="G504" s="188"/>
      <c r="H504" s="188"/>
      <c r="I504" s="202"/>
      <c r="J504" s="215"/>
      <c r="K504" s="216">
        <f>SUM(K498:K503)</f>
        <v>18000</v>
      </c>
      <c r="L504" s="192"/>
      <c r="M504" s="193"/>
    </row>
    <row r="505" spans="1:14" x14ac:dyDescent="0.2">
      <c r="A505" s="252">
        <v>128</v>
      </c>
      <c r="B505" s="344" t="s">
        <v>795</v>
      </c>
      <c r="C505" s="345"/>
      <c r="D505" s="166" t="s">
        <v>25</v>
      </c>
      <c r="E505" s="166"/>
      <c r="F505" s="166"/>
      <c r="G505" s="166" t="s">
        <v>796</v>
      </c>
      <c r="H505" s="166" t="s">
        <v>769</v>
      </c>
      <c r="I505" s="346" t="s">
        <v>797</v>
      </c>
      <c r="J505" s="346" t="s">
        <v>662</v>
      </c>
      <c r="K505" s="268">
        <v>60514999.999999993</v>
      </c>
      <c r="L505" s="347" t="s">
        <v>796</v>
      </c>
      <c r="M505" s="171" t="s">
        <v>798</v>
      </c>
    </row>
    <row r="506" spans="1:14" x14ac:dyDescent="0.2">
      <c r="A506" s="245"/>
      <c r="B506" s="348"/>
      <c r="C506" s="349"/>
      <c r="D506" s="176"/>
      <c r="E506" s="176"/>
      <c r="F506" s="176"/>
      <c r="G506" s="176"/>
      <c r="H506" s="176"/>
      <c r="I506" s="350" t="s">
        <v>799</v>
      </c>
      <c r="J506" s="350" t="s">
        <v>196</v>
      </c>
      <c r="K506" s="214">
        <v>25935000</v>
      </c>
      <c r="L506" s="351"/>
      <c r="M506" s="181"/>
      <c r="N506" s="172"/>
    </row>
    <row r="507" spans="1:14" x14ac:dyDescent="0.2">
      <c r="A507" s="245"/>
      <c r="B507" s="348"/>
      <c r="C507" s="349"/>
      <c r="D507" s="176"/>
      <c r="E507" s="176"/>
      <c r="F507" s="176"/>
      <c r="G507" s="176"/>
      <c r="H507" s="176"/>
      <c r="I507" s="342"/>
      <c r="J507" s="342"/>
      <c r="K507" s="196">
        <v>86450000</v>
      </c>
      <c r="L507" s="351"/>
      <c r="M507" s="181"/>
    </row>
    <row r="508" spans="1:14" x14ac:dyDescent="0.2">
      <c r="A508" s="163">
        <v>129</v>
      </c>
      <c r="B508" s="164" t="s">
        <v>800</v>
      </c>
      <c r="C508" s="165"/>
      <c r="D508" s="166" t="s">
        <v>107</v>
      </c>
      <c r="E508" s="166"/>
      <c r="F508" s="166"/>
      <c r="G508" s="166"/>
      <c r="H508" s="166"/>
      <c r="I508" s="167" t="s">
        <v>801</v>
      </c>
      <c r="J508" s="168" t="s">
        <v>599</v>
      </c>
      <c r="K508" s="169">
        <f>7500*25%</f>
        <v>1875</v>
      </c>
      <c r="L508" s="170" t="s">
        <v>111</v>
      </c>
      <c r="M508" s="171" t="s">
        <v>802</v>
      </c>
    </row>
    <row r="509" spans="1:14" x14ac:dyDescent="0.2">
      <c r="A509" s="173"/>
      <c r="B509" s="174"/>
      <c r="C509" s="175"/>
      <c r="D509" s="176"/>
      <c r="E509" s="176"/>
      <c r="F509" s="176"/>
      <c r="G509" s="176"/>
      <c r="H509" s="176"/>
      <c r="I509" s="184" t="s">
        <v>803</v>
      </c>
      <c r="J509" s="178" t="s">
        <v>599</v>
      </c>
      <c r="K509" s="179">
        <f>7500*25%</f>
        <v>1875</v>
      </c>
      <c r="L509" s="180"/>
      <c r="M509" s="181"/>
    </row>
    <row r="510" spans="1:14" x14ac:dyDescent="0.2">
      <c r="A510" s="173"/>
      <c r="B510" s="174"/>
      <c r="C510" s="175"/>
      <c r="D510" s="176"/>
      <c r="E510" s="176"/>
      <c r="F510" s="176"/>
      <c r="G510" s="176"/>
      <c r="H510" s="176"/>
      <c r="I510" s="184" t="s">
        <v>804</v>
      </c>
      <c r="J510" s="168" t="s">
        <v>576</v>
      </c>
      <c r="K510" s="182">
        <f>7500*25%</f>
        <v>1875</v>
      </c>
      <c r="L510" s="180"/>
      <c r="M510" s="181"/>
    </row>
    <row r="511" spans="1:14" x14ac:dyDescent="0.2">
      <c r="A511" s="173"/>
      <c r="B511" s="174"/>
      <c r="C511" s="175"/>
      <c r="D511" s="176"/>
      <c r="E511" s="176"/>
      <c r="F511" s="176"/>
      <c r="G511" s="176"/>
      <c r="H511" s="176"/>
      <c r="I511" s="167" t="s">
        <v>805</v>
      </c>
      <c r="J511" s="178" t="s">
        <v>576</v>
      </c>
      <c r="K511" s="208">
        <f>7500*15%</f>
        <v>1125</v>
      </c>
      <c r="L511" s="180"/>
      <c r="M511" s="181"/>
    </row>
    <row r="512" spans="1:14" x14ac:dyDescent="0.2">
      <c r="A512" s="173"/>
      <c r="B512" s="174"/>
      <c r="C512" s="175"/>
      <c r="D512" s="176"/>
      <c r="E512" s="176"/>
      <c r="F512" s="176"/>
      <c r="G512" s="176"/>
      <c r="H512" s="176"/>
      <c r="I512" s="184" t="s">
        <v>806</v>
      </c>
      <c r="J512" s="178" t="s">
        <v>576</v>
      </c>
      <c r="K512" s="201">
        <f>7500*10%</f>
        <v>750</v>
      </c>
      <c r="L512" s="180"/>
      <c r="M512" s="181"/>
    </row>
    <row r="513" spans="1:13" x14ac:dyDescent="0.2">
      <c r="A513" s="185"/>
      <c r="B513" s="186"/>
      <c r="C513" s="187"/>
      <c r="D513" s="188"/>
      <c r="E513" s="188"/>
      <c r="F513" s="188"/>
      <c r="G513" s="188"/>
      <c r="H513" s="188"/>
      <c r="I513" s="189"/>
      <c r="J513" s="215"/>
      <c r="K513" s="216">
        <f>SUM(K508:K512)</f>
        <v>7500</v>
      </c>
      <c r="L513" s="192"/>
      <c r="M513" s="193"/>
    </row>
    <row r="514" spans="1:13" x14ac:dyDescent="0.2">
      <c r="A514" s="163">
        <v>130</v>
      </c>
      <c r="B514" s="164" t="s">
        <v>807</v>
      </c>
      <c r="C514" s="165"/>
      <c r="D514" s="166" t="s">
        <v>107</v>
      </c>
      <c r="E514" s="166"/>
      <c r="F514" s="166"/>
      <c r="G514" s="166"/>
      <c r="H514" s="166"/>
      <c r="I514" s="217" t="s">
        <v>808</v>
      </c>
      <c r="J514" s="168" t="s">
        <v>599</v>
      </c>
      <c r="K514" s="169">
        <f>6000*50%</f>
        <v>3000</v>
      </c>
      <c r="L514" s="170" t="s">
        <v>111</v>
      </c>
      <c r="M514" s="171" t="s">
        <v>809</v>
      </c>
    </row>
    <row r="515" spans="1:13" x14ac:dyDescent="0.2">
      <c r="A515" s="173"/>
      <c r="B515" s="174"/>
      <c r="C515" s="175"/>
      <c r="D515" s="176"/>
      <c r="E515" s="176"/>
      <c r="F515" s="176"/>
      <c r="G515" s="176"/>
      <c r="H515" s="176"/>
      <c r="I515" s="167" t="s">
        <v>810</v>
      </c>
      <c r="J515" s="178" t="s">
        <v>599</v>
      </c>
      <c r="K515" s="179">
        <f>6000*5%</f>
        <v>300</v>
      </c>
      <c r="L515" s="180"/>
      <c r="M515" s="181"/>
    </row>
    <row r="516" spans="1:13" x14ac:dyDescent="0.2">
      <c r="A516" s="173"/>
      <c r="B516" s="174"/>
      <c r="C516" s="175"/>
      <c r="D516" s="176"/>
      <c r="E516" s="176"/>
      <c r="F516" s="176"/>
      <c r="G516" s="176"/>
      <c r="H516" s="176"/>
      <c r="I516" s="184" t="s">
        <v>639</v>
      </c>
      <c r="J516" s="178" t="s">
        <v>599</v>
      </c>
      <c r="K516" s="179">
        <f>6000*15%</f>
        <v>900</v>
      </c>
      <c r="L516" s="180"/>
      <c r="M516" s="181"/>
    </row>
    <row r="517" spans="1:13" x14ac:dyDescent="0.2">
      <c r="A517" s="173"/>
      <c r="B517" s="174"/>
      <c r="C517" s="175"/>
      <c r="D517" s="176"/>
      <c r="E517" s="176"/>
      <c r="F517" s="176"/>
      <c r="G517" s="176"/>
      <c r="H517" s="176"/>
      <c r="I517" s="184" t="s">
        <v>811</v>
      </c>
      <c r="J517" s="168" t="s">
        <v>599</v>
      </c>
      <c r="K517" s="182">
        <f>6000*5%</f>
        <v>300</v>
      </c>
      <c r="L517" s="180"/>
      <c r="M517" s="181"/>
    </row>
    <row r="518" spans="1:13" x14ac:dyDescent="0.2">
      <c r="A518" s="173"/>
      <c r="B518" s="174"/>
      <c r="C518" s="175"/>
      <c r="D518" s="176"/>
      <c r="E518" s="176"/>
      <c r="F518" s="176"/>
      <c r="G518" s="176"/>
      <c r="H518" s="176"/>
      <c r="I518" s="184" t="s">
        <v>812</v>
      </c>
      <c r="J518" s="178" t="s">
        <v>599</v>
      </c>
      <c r="K518" s="208">
        <f>6000*5%</f>
        <v>300</v>
      </c>
      <c r="L518" s="180"/>
      <c r="M518" s="181"/>
    </row>
    <row r="519" spans="1:13" x14ac:dyDescent="0.2">
      <c r="A519" s="173"/>
      <c r="B519" s="174"/>
      <c r="C519" s="175"/>
      <c r="D519" s="176"/>
      <c r="E519" s="176"/>
      <c r="F519" s="176"/>
      <c r="G519" s="176"/>
      <c r="H519" s="176"/>
      <c r="I519" s="184" t="s">
        <v>813</v>
      </c>
      <c r="J519" s="168" t="s">
        <v>599</v>
      </c>
      <c r="K519" s="201">
        <f>6000*15%</f>
        <v>900</v>
      </c>
      <c r="L519" s="180"/>
      <c r="M519" s="181"/>
    </row>
    <row r="520" spans="1:13" x14ac:dyDescent="0.2">
      <c r="A520" s="173"/>
      <c r="B520" s="174"/>
      <c r="C520" s="175"/>
      <c r="D520" s="176"/>
      <c r="E520" s="176"/>
      <c r="F520" s="176"/>
      <c r="G520" s="176"/>
      <c r="H520" s="176"/>
      <c r="I520" s="184" t="s">
        <v>814</v>
      </c>
      <c r="J520" s="178" t="s">
        <v>599</v>
      </c>
      <c r="K520" s="208">
        <f>6000*5%</f>
        <v>300</v>
      </c>
      <c r="L520" s="180"/>
      <c r="M520" s="181"/>
    </row>
    <row r="521" spans="1:13" x14ac:dyDescent="0.2">
      <c r="A521" s="185"/>
      <c r="B521" s="186"/>
      <c r="C521" s="187"/>
      <c r="D521" s="188"/>
      <c r="E521" s="188"/>
      <c r="F521" s="188"/>
      <c r="G521" s="188"/>
      <c r="H521" s="188"/>
      <c r="I521" s="189"/>
      <c r="J521" s="190"/>
      <c r="K521" s="209">
        <f>SUM(K514:K520)</f>
        <v>6000</v>
      </c>
      <c r="L521" s="192"/>
      <c r="M521" s="193"/>
    </row>
    <row r="522" spans="1:13" x14ac:dyDescent="0.2">
      <c r="A522" s="163">
        <v>131</v>
      </c>
      <c r="B522" s="164" t="s">
        <v>815</v>
      </c>
      <c r="C522" s="165"/>
      <c r="D522" s="166" t="s">
        <v>107</v>
      </c>
      <c r="E522" s="166"/>
      <c r="F522" s="166"/>
      <c r="G522" s="166"/>
      <c r="H522" s="166"/>
      <c r="I522" s="217" t="s">
        <v>816</v>
      </c>
      <c r="J522" s="194" t="s">
        <v>599</v>
      </c>
      <c r="K522" s="169">
        <f>7000*50%</f>
        <v>3500</v>
      </c>
      <c r="L522" s="170" t="s">
        <v>111</v>
      </c>
      <c r="M522" s="171" t="s">
        <v>817</v>
      </c>
    </row>
    <row r="523" spans="1:13" x14ac:dyDescent="0.2">
      <c r="A523" s="173"/>
      <c r="B523" s="174"/>
      <c r="C523" s="175"/>
      <c r="D523" s="176"/>
      <c r="E523" s="176"/>
      <c r="F523" s="176"/>
      <c r="G523" s="176"/>
      <c r="H523" s="176"/>
      <c r="I523" s="167" t="s">
        <v>818</v>
      </c>
      <c r="J523" s="168" t="s">
        <v>599</v>
      </c>
      <c r="K523" s="230">
        <f>7000*19%</f>
        <v>1330</v>
      </c>
      <c r="L523" s="180"/>
      <c r="M523" s="181"/>
    </row>
    <row r="524" spans="1:13" x14ac:dyDescent="0.2">
      <c r="A524" s="173"/>
      <c r="B524" s="174"/>
      <c r="C524" s="175"/>
      <c r="D524" s="176"/>
      <c r="E524" s="176"/>
      <c r="F524" s="176"/>
      <c r="G524" s="176"/>
      <c r="H524" s="176"/>
      <c r="I524" s="177" t="s">
        <v>814</v>
      </c>
      <c r="J524" s="178" t="s">
        <v>599</v>
      </c>
      <c r="K524" s="179">
        <f>7000*5%</f>
        <v>350</v>
      </c>
      <c r="L524" s="180"/>
      <c r="M524" s="181"/>
    </row>
    <row r="525" spans="1:13" x14ac:dyDescent="0.2">
      <c r="A525" s="173"/>
      <c r="B525" s="174"/>
      <c r="C525" s="175"/>
      <c r="D525" s="176"/>
      <c r="E525" s="176"/>
      <c r="F525" s="176"/>
      <c r="G525" s="176"/>
      <c r="H525" s="176"/>
      <c r="I525" s="177" t="s">
        <v>819</v>
      </c>
      <c r="J525" s="168" t="s">
        <v>362</v>
      </c>
      <c r="K525" s="230">
        <f>7000*3%</f>
        <v>210</v>
      </c>
      <c r="L525" s="180"/>
      <c r="M525" s="181"/>
    </row>
    <row r="526" spans="1:13" x14ac:dyDescent="0.2">
      <c r="A526" s="173"/>
      <c r="B526" s="174"/>
      <c r="C526" s="175"/>
      <c r="D526" s="176"/>
      <c r="E526" s="176"/>
      <c r="F526" s="176"/>
      <c r="G526" s="176"/>
      <c r="H526" s="176"/>
      <c r="I526" s="177" t="s">
        <v>810</v>
      </c>
      <c r="J526" s="178" t="s">
        <v>599</v>
      </c>
      <c r="K526" s="208">
        <f>7000*5%</f>
        <v>350</v>
      </c>
      <c r="L526" s="180"/>
      <c r="M526" s="181"/>
    </row>
    <row r="527" spans="1:13" x14ac:dyDescent="0.2">
      <c r="A527" s="173"/>
      <c r="B527" s="174"/>
      <c r="C527" s="175"/>
      <c r="D527" s="176"/>
      <c r="E527" s="176"/>
      <c r="F527" s="176"/>
      <c r="G527" s="176"/>
      <c r="H527" s="176"/>
      <c r="I527" s="184" t="s">
        <v>820</v>
      </c>
      <c r="J527" s="178" t="s">
        <v>599</v>
      </c>
      <c r="K527" s="208">
        <f>7000*5%</f>
        <v>350</v>
      </c>
      <c r="L527" s="180"/>
      <c r="M527" s="181"/>
    </row>
    <row r="528" spans="1:13" x14ac:dyDescent="0.2">
      <c r="A528" s="173"/>
      <c r="B528" s="174"/>
      <c r="C528" s="175"/>
      <c r="D528" s="176"/>
      <c r="E528" s="176"/>
      <c r="F528" s="176"/>
      <c r="G528" s="176"/>
      <c r="H528" s="176"/>
      <c r="I528" s="167" t="s">
        <v>812</v>
      </c>
      <c r="J528" s="178" t="s">
        <v>599</v>
      </c>
      <c r="K528" s="201">
        <f>7000*5%</f>
        <v>350</v>
      </c>
      <c r="L528" s="180"/>
      <c r="M528" s="181"/>
    </row>
    <row r="529" spans="1:13" x14ac:dyDescent="0.2">
      <c r="A529" s="173"/>
      <c r="B529" s="174"/>
      <c r="C529" s="175"/>
      <c r="D529" s="176"/>
      <c r="E529" s="176"/>
      <c r="F529" s="176"/>
      <c r="G529" s="176"/>
      <c r="H529" s="176"/>
      <c r="I529" s="184" t="s">
        <v>811</v>
      </c>
      <c r="J529" s="168" t="s">
        <v>599</v>
      </c>
      <c r="K529" s="230">
        <f>7000*5%</f>
        <v>350</v>
      </c>
      <c r="L529" s="180"/>
      <c r="M529" s="181"/>
    </row>
    <row r="530" spans="1:13" x14ac:dyDescent="0.2">
      <c r="A530" s="173"/>
      <c r="B530" s="174"/>
      <c r="C530" s="175"/>
      <c r="D530" s="176"/>
      <c r="E530" s="176"/>
      <c r="F530" s="176"/>
      <c r="G530" s="176"/>
      <c r="H530" s="176"/>
      <c r="I530" s="184" t="s">
        <v>821</v>
      </c>
      <c r="J530" s="178" t="s">
        <v>599</v>
      </c>
      <c r="K530" s="208">
        <f>7000*3%</f>
        <v>210</v>
      </c>
      <c r="L530" s="180"/>
      <c r="M530" s="181"/>
    </row>
    <row r="531" spans="1:13" x14ac:dyDescent="0.2">
      <c r="A531" s="185"/>
      <c r="B531" s="186"/>
      <c r="C531" s="187"/>
      <c r="D531" s="188"/>
      <c r="E531" s="188"/>
      <c r="F531" s="188"/>
      <c r="G531" s="188"/>
      <c r="H531" s="188"/>
      <c r="I531" s="189"/>
      <c r="J531" s="190"/>
      <c r="K531" s="209">
        <f>SUM(K522:K530)</f>
        <v>7000</v>
      </c>
      <c r="L531" s="192"/>
      <c r="M531" s="193"/>
    </row>
    <row r="532" spans="1:13" x14ac:dyDescent="0.2">
      <c r="A532" s="163">
        <v>132</v>
      </c>
      <c r="B532" s="164" t="s">
        <v>822</v>
      </c>
      <c r="C532" s="165"/>
      <c r="D532" s="166" t="s">
        <v>107</v>
      </c>
      <c r="E532" s="166"/>
      <c r="F532" s="166"/>
      <c r="G532" s="166"/>
      <c r="H532" s="166"/>
      <c r="I532" s="217" t="s">
        <v>823</v>
      </c>
      <c r="J532" s="168" t="s">
        <v>599</v>
      </c>
      <c r="K532" s="169">
        <f>7000*50%</f>
        <v>3500</v>
      </c>
      <c r="L532" s="195" t="s">
        <v>111</v>
      </c>
      <c r="M532" s="171" t="s">
        <v>824</v>
      </c>
    </row>
    <row r="533" spans="1:13" x14ac:dyDescent="0.2">
      <c r="A533" s="173"/>
      <c r="B533" s="174"/>
      <c r="C533" s="175"/>
      <c r="D533" s="176"/>
      <c r="E533" s="176"/>
      <c r="F533" s="176"/>
      <c r="G533" s="176"/>
      <c r="H533" s="176"/>
      <c r="I533" s="167" t="s">
        <v>825</v>
      </c>
      <c r="J533" s="178" t="s">
        <v>599</v>
      </c>
      <c r="K533" s="200">
        <f>7000*25%</f>
        <v>1750</v>
      </c>
      <c r="L533" s="197"/>
      <c r="M533" s="181"/>
    </row>
    <row r="534" spans="1:13" x14ac:dyDescent="0.2">
      <c r="A534" s="173"/>
      <c r="B534" s="174"/>
      <c r="C534" s="175"/>
      <c r="D534" s="176"/>
      <c r="E534" s="176"/>
      <c r="F534" s="176"/>
      <c r="G534" s="176"/>
      <c r="H534" s="176"/>
      <c r="I534" s="184" t="s">
        <v>811</v>
      </c>
      <c r="J534" s="168" t="s">
        <v>599</v>
      </c>
      <c r="K534" s="196">
        <f>7000*5%</f>
        <v>350</v>
      </c>
      <c r="L534" s="197"/>
      <c r="M534" s="181"/>
    </row>
    <row r="535" spans="1:13" x14ac:dyDescent="0.2">
      <c r="A535" s="173"/>
      <c r="B535" s="174"/>
      <c r="C535" s="175"/>
      <c r="D535" s="176"/>
      <c r="E535" s="176"/>
      <c r="F535" s="176"/>
      <c r="G535" s="176"/>
      <c r="H535" s="176"/>
      <c r="I535" s="184" t="s">
        <v>826</v>
      </c>
      <c r="J535" s="178" t="s">
        <v>599</v>
      </c>
      <c r="K535" s="198">
        <f>7000*10%</f>
        <v>700</v>
      </c>
      <c r="L535" s="197"/>
      <c r="M535" s="181"/>
    </row>
    <row r="536" spans="1:13" x14ac:dyDescent="0.2">
      <c r="A536" s="173"/>
      <c r="B536" s="174"/>
      <c r="C536" s="175"/>
      <c r="D536" s="176"/>
      <c r="E536" s="176"/>
      <c r="F536" s="176"/>
      <c r="G536" s="176"/>
      <c r="H536" s="176"/>
      <c r="I536" s="167" t="s">
        <v>827</v>
      </c>
      <c r="J536" s="178" t="s">
        <v>599</v>
      </c>
      <c r="K536" s="198">
        <f>7000*2%</f>
        <v>140</v>
      </c>
      <c r="L536" s="197"/>
      <c r="M536" s="181"/>
    </row>
    <row r="537" spans="1:13" x14ac:dyDescent="0.2">
      <c r="A537" s="173"/>
      <c r="B537" s="174"/>
      <c r="C537" s="175"/>
      <c r="D537" s="176"/>
      <c r="E537" s="176"/>
      <c r="F537" s="176"/>
      <c r="G537" s="176"/>
      <c r="H537" s="176"/>
      <c r="I537" s="177" t="s">
        <v>828</v>
      </c>
      <c r="J537" s="178" t="s">
        <v>599</v>
      </c>
      <c r="K537" s="200">
        <f>7000*2%</f>
        <v>140</v>
      </c>
      <c r="L537" s="197"/>
      <c r="M537" s="181"/>
    </row>
    <row r="538" spans="1:13" x14ac:dyDescent="0.2">
      <c r="A538" s="173"/>
      <c r="B538" s="174"/>
      <c r="C538" s="175"/>
      <c r="D538" s="176"/>
      <c r="E538" s="176"/>
      <c r="F538" s="176"/>
      <c r="G538" s="176"/>
      <c r="H538" s="176"/>
      <c r="I538" s="184" t="s">
        <v>829</v>
      </c>
      <c r="J538" s="178" t="s">
        <v>599</v>
      </c>
      <c r="K538" s="200">
        <f>7000*2%</f>
        <v>140</v>
      </c>
      <c r="L538" s="197"/>
      <c r="M538" s="181"/>
    </row>
    <row r="539" spans="1:13" x14ac:dyDescent="0.2">
      <c r="A539" s="173"/>
      <c r="B539" s="174"/>
      <c r="C539" s="175"/>
      <c r="D539" s="176"/>
      <c r="E539" s="176"/>
      <c r="F539" s="176"/>
      <c r="G539" s="176"/>
      <c r="H539" s="176"/>
      <c r="I539" s="184" t="s">
        <v>830</v>
      </c>
      <c r="J539" s="178" t="s">
        <v>599</v>
      </c>
      <c r="K539" s="200">
        <f>7000*2%</f>
        <v>140</v>
      </c>
      <c r="L539" s="197"/>
      <c r="M539" s="181"/>
    </row>
    <row r="540" spans="1:13" x14ac:dyDescent="0.2">
      <c r="A540" s="173"/>
      <c r="B540" s="174"/>
      <c r="C540" s="175"/>
      <c r="D540" s="176"/>
      <c r="E540" s="176"/>
      <c r="F540" s="176"/>
      <c r="G540" s="176"/>
      <c r="H540" s="176"/>
      <c r="I540" s="167" t="s">
        <v>831</v>
      </c>
      <c r="J540" s="178" t="s">
        <v>599</v>
      </c>
      <c r="K540" s="201">
        <f>7000*2%</f>
        <v>140</v>
      </c>
      <c r="L540" s="197"/>
      <c r="M540" s="181"/>
    </row>
    <row r="541" spans="1:13" x14ac:dyDescent="0.2">
      <c r="A541" s="185"/>
      <c r="B541" s="186"/>
      <c r="C541" s="187"/>
      <c r="D541" s="188"/>
      <c r="E541" s="188"/>
      <c r="F541" s="188"/>
      <c r="G541" s="188"/>
      <c r="H541" s="188"/>
      <c r="I541" s="202"/>
      <c r="J541" s="190"/>
      <c r="K541" s="211">
        <f>SUM(K532:K540)</f>
        <v>7000</v>
      </c>
      <c r="L541" s="205"/>
      <c r="M541" s="193"/>
    </row>
    <row r="542" spans="1:13" x14ac:dyDescent="0.2">
      <c r="A542" s="163">
        <v>133</v>
      </c>
      <c r="B542" s="164" t="s">
        <v>832</v>
      </c>
      <c r="C542" s="165"/>
      <c r="D542" s="166" t="s">
        <v>107</v>
      </c>
      <c r="E542" s="166"/>
      <c r="F542" s="166"/>
      <c r="G542" s="166"/>
      <c r="H542" s="166"/>
      <c r="I542" s="167" t="s">
        <v>833</v>
      </c>
      <c r="J542" s="194" t="s">
        <v>599</v>
      </c>
      <c r="K542" s="169">
        <f>7000*90%</f>
        <v>6300</v>
      </c>
      <c r="L542" s="170" t="s">
        <v>111</v>
      </c>
      <c r="M542" s="171" t="s">
        <v>834</v>
      </c>
    </row>
    <row r="543" spans="1:13" x14ac:dyDescent="0.2">
      <c r="A543" s="173"/>
      <c r="B543" s="174"/>
      <c r="C543" s="175"/>
      <c r="D543" s="176"/>
      <c r="E543" s="176"/>
      <c r="F543" s="176"/>
      <c r="G543" s="176"/>
      <c r="H543" s="176"/>
      <c r="I543" s="184" t="s">
        <v>835</v>
      </c>
      <c r="J543" s="178" t="s">
        <v>599</v>
      </c>
      <c r="K543" s="179">
        <f>7000*10%</f>
        <v>700</v>
      </c>
      <c r="L543" s="180"/>
      <c r="M543" s="181"/>
    </row>
    <row r="544" spans="1:13" x14ac:dyDescent="0.2">
      <c r="A544" s="185"/>
      <c r="B544" s="186"/>
      <c r="C544" s="187"/>
      <c r="D544" s="188"/>
      <c r="E544" s="188"/>
      <c r="F544" s="188"/>
      <c r="G544" s="188"/>
      <c r="H544" s="188"/>
      <c r="I544" s="189"/>
      <c r="J544" s="215"/>
      <c r="K544" s="216">
        <f>SUM(K542:K543)</f>
        <v>7000</v>
      </c>
      <c r="L544" s="192"/>
      <c r="M544" s="193"/>
    </row>
    <row r="545" spans="1:13" x14ac:dyDescent="0.2">
      <c r="A545" s="163">
        <v>134</v>
      </c>
      <c r="B545" s="164" t="s">
        <v>836</v>
      </c>
      <c r="C545" s="165"/>
      <c r="D545" s="166" t="s">
        <v>107</v>
      </c>
      <c r="E545" s="166"/>
      <c r="F545" s="166"/>
      <c r="G545" s="166"/>
      <c r="H545" s="166"/>
      <c r="I545" s="217" t="s">
        <v>837</v>
      </c>
      <c r="J545" s="168" t="s">
        <v>599</v>
      </c>
      <c r="K545" s="210">
        <f>6000*100%</f>
        <v>6000</v>
      </c>
      <c r="L545" s="171" t="s">
        <v>111</v>
      </c>
      <c r="M545" s="171" t="s">
        <v>838</v>
      </c>
    </row>
    <row r="546" spans="1:13" x14ac:dyDescent="0.2">
      <c r="A546" s="185"/>
      <c r="B546" s="186"/>
      <c r="C546" s="187"/>
      <c r="D546" s="188"/>
      <c r="E546" s="188"/>
      <c r="F546" s="188"/>
      <c r="G546" s="188"/>
      <c r="H546" s="188"/>
      <c r="I546" s="189"/>
      <c r="J546" s="203"/>
      <c r="K546" s="352">
        <f>SUM(K545)</f>
        <v>6000</v>
      </c>
      <c r="L546" s="193"/>
      <c r="M546" s="193"/>
    </row>
    <row r="547" spans="1:13" x14ac:dyDescent="0.2">
      <c r="A547" s="163">
        <v>135</v>
      </c>
      <c r="B547" s="164" t="s">
        <v>839</v>
      </c>
      <c r="C547" s="165"/>
      <c r="D547" s="166" t="s">
        <v>107</v>
      </c>
      <c r="E547" s="166"/>
      <c r="F547" s="166"/>
      <c r="G547" s="166"/>
      <c r="H547" s="166"/>
      <c r="I547" s="167" t="s">
        <v>840</v>
      </c>
      <c r="J547" s="353" t="s">
        <v>599</v>
      </c>
      <c r="K547" s="354">
        <f>7000*80%</f>
        <v>5600</v>
      </c>
      <c r="L547" s="171" t="s">
        <v>111</v>
      </c>
      <c r="M547" s="171" t="s">
        <v>841</v>
      </c>
    </row>
    <row r="548" spans="1:13" x14ac:dyDescent="0.2">
      <c r="A548" s="173"/>
      <c r="B548" s="174"/>
      <c r="C548" s="175"/>
      <c r="D548" s="176"/>
      <c r="E548" s="176"/>
      <c r="F548" s="176"/>
      <c r="G548" s="176"/>
      <c r="H548" s="176"/>
      <c r="I548" s="177" t="s">
        <v>842</v>
      </c>
      <c r="J548" s="207" t="s">
        <v>459</v>
      </c>
      <c r="K548" s="355">
        <f>7000*10%</f>
        <v>700</v>
      </c>
      <c r="L548" s="181"/>
      <c r="M548" s="181"/>
    </row>
    <row r="549" spans="1:13" x14ac:dyDescent="0.2">
      <c r="A549" s="173"/>
      <c r="B549" s="174"/>
      <c r="C549" s="175"/>
      <c r="D549" s="176"/>
      <c r="E549" s="176"/>
      <c r="F549" s="176"/>
      <c r="G549" s="176"/>
      <c r="H549" s="176"/>
      <c r="I549" s="184" t="s">
        <v>843</v>
      </c>
      <c r="J549" s="168" t="s">
        <v>599</v>
      </c>
      <c r="K549" s="355">
        <f>7000*10%</f>
        <v>700</v>
      </c>
      <c r="L549" s="181"/>
      <c r="M549" s="181"/>
    </row>
    <row r="550" spans="1:13" x14ac:dyDescent="0.2">
      <c r="A550" s="185"/>
      <c r="B550" s="186"/>
      <c r="C550" s="187"/>
      <c r="D550" s="188"/>
      <c r="E550" s="188"/>
      <c r="F550" s="188"/>
      <c r="G550" s="188"/>
      <c r="H550" s="188"/>
      <c r="I550" s="189"/>
      <c r="J550" s="203"/>
      <c r="K550" s="356">
        <f>SUM(K547:K549)</f>
        <v>7000</v>
      </c>
      <c r="L550" s="193"/>
      <c r="M550" s="193"/>
    </row>
    <row r="551" spans="1:13" x14ac:dyDescent="0.2">
      <c r="A551" s="163">
        <v>136</v>
      </c>
      <c r="B551" s="164" t="s">
        <v>844</v>
      </c>
      <c r="C551" s="165"/>
      <c r="D551" s="166" t="s">
        <v>107</v>
      </c>
      <c r="E551" s="166"/>
      <c r="F551" s="166"/>
      <c r="G551" s="166"/>
      <c r="H551" s="166"/>
      <c r="I551" s="167" t="s">
        <v>845</v>
      </c>
      <c r="J551" s="223" t="s">
        <v>599</v>
      </c>
      <c r="K551" s="357">
        <f>8000*85%</f>
        <v>6800</v>
      </c>
      <c r="L551" s="170" t="s">
        <v>111</v>
      </c>
      <c r="M551" s="171" t="s">
        <v>846</v>
      </c>
    </row>
    <row r="552" spans="1:13" x14ac:dyDescent="0.2">
      <c r="A552" s="173"/>
      <c r="B552" s="174"/>
      <c r="C552" s="175"/>
      <c r="D552" s="176"/>
      <c r="E552" s="176"/>
      <c r="F552" s="176"/>
      <c r="G552" s="176"/>
      <c r="H552" s="176"/>
      <c r="I552" s="184" t="s">
        <v>847</v>
      </c>
      <c r="J552" s="168" t="s">
        <v>599</v>
      </c>
      <c r="K552" s="358">
        <f>8000*5%</f>
        <v>400</v>
      </c>
      <c r="L552" s="180"/>
      <c r="M552" s="181"/>
    </row>
    <row r="553" spans="1:13" x14ac:dyDescent="0.2">
      <c r="A553" s="173"/>
      <c r="B553" s="174"/>
      <c r="C553" s="175"/>
      <c r="D553" s="176"/>
      <c r="E553" s="176"/>
      <c r="F553" s="176"/>
      <c r="G553" s="176"/>
      <c r="H553" s="176"/>
      <c r="I553" s="167" t="s">
        <v>848</v>
      </c>
      <c r="J553" s="207" t="s">
        <v>599</v>
      </c>
      <c r="K553" s="330">
        <f>8000*5%</f>
        <v>400</v>
      </c>
      <c r="L553" s="180"/>
      <c r="M553" s="181"/>
    </row>
    <row r="554" spans="1:13" x14ac:dyDescent="0.2">
      <c r="A554" s="173"/>
      <c r="B554" s="174"/>
      <c r="C554" s="175"/>
      <c r="D554" s="176"/>
      <c r="E554" s="176"/>
      <c r="F554" s="176"/>
      <c r="G554" s="176"/>
      <c r="H554" s="176"/>
      <c r="I554" s="184" t="s">
        <v>849</v>
      </c>
      <c r="J554" s="207" t="s">
        <v>599</v>
      </c>
      <c r="K554" s="264">
        <f>8000*5%</f>
        <v>400</v>
      </c>
      <c r="L554" s="180"/>
      <c r="M554" s="181"/>
    </row>
    <row r="555" spans="1:13" x14ac:dyDescent="0.2">
      <c r="A555" s="185"/>
      <c r="B555" s="186"/>
      <c r="C555" s="187"/>
      <c r="D555" s="188"/>
      <c r="E555" s="188"/>
      <c r="F555" s="188"/>
      <c r="G555" s="188"/>
      <c r="H555" s="188"/>
      <c r="I555" s="189"/>
      <c r="J555" s="215"/>
      <c r="K555" s="359">
        <f>SUM(K551:K554)</f>
        <v>8000</v>
      </c>
      <c r="L555" s="192"/>
      <c r="M555" s="193"/>
    </row>
    <row r="556" spans="1:13" x14ac:dyDescent="0.2">
      <c r="A556" s="163">
        <v>137</v>
      </c>
      <c r="B556" s="164" t="s">
        <v>850</v>
      </c>
      <c r="C556" s="165"/>
      <c r="D556" s="166" t="s">
        <v>163</v>
      </c>
      <c r="E556" s="166"/>
      <c r="F556" s="166"/>
      <c r="G556" s="166"/>
      <c r="H556" s="166"/>
      <c r="I556" s="167" t="s">
        <v>851</v>
      </c>
      <c r="J556" s="168" t="s">
        <v>599</v>
      </c>
      <c r="K556" s="360">
        <f>530000*85%</f>
        <v>450500</v>
      </c>
      <c r="L556" s="170" t="s">
        <v>166</v>
      </c>
      <c r="M556" s="171" t="s">
        <v>852</v>
      </c>
    </row>
    <row r="557" spans="1:13" x14ac:dyDescent="0.2">
      <c r="A557" s="173"/>
      <c r="B557" s="174"/>
      <c r="C557" s="175"/>
      <c r="D557" s="176"/>
      <c r="E557" s="176"/>
      <c r="F557" s="176"/>
      <c r="G557" s="176"/>
      <c r="H557" s="176"/>
      <c r="I557" s="184" t="s">
        <v>853</v>
      </c>
      <c r="J557" s="207" t="s">
        <v>599</v>
      </c>
      <c r="K557" s="264">
        <f>530000*5%</f>
        <v>26500</v>
      </c>
      <c r="L557" s="180"/>
      <c r="M557" s="181"/>
    </row>
    <row r="558" spans="1:13" x14ac:dyDescent="0.2">
      <c r="A558" s="173"/>
      <c r="B558" s="174"/>
      <c r="C558" s="175"/>
      <c r="D558" s="176"/>
      <c r="E558" s="176"/>
      <c r="F558" s="176"/>
      <c r="G558" s="176"/>
      <c r="H558" s="176"/>
      <c r="I558" s="184" t="s">
        <v>854</v>
      </c>
      <c r="J558" s="207" t="s">
        <v>599</v>
      </c>
      <c r="K558" s="264">
        <f>530000*5%</f>
        <v>26500</v>
      </c>
      <c r="L558" s="180"/>
      <c r="M558" s="181"/>
    </row>
    <row r="559" spans="1:13" x14ac:dyDescent="0.2">
      <c r="A559" s="173"/>
      <c r="B559" s="174"/>
      <c r="C559" s="175"/>
      <c r="D559" s="176"/>
      <c r="E559" s="176"/>
      <c r="F559" s="176"/>
      <c r="G559" s="176"/>
      <c r="H559" s="176"/>
      <c r="I559" s="184" t="s">
        <v>855</v>
      </c>
      <c r="J559" s="249" t="s">
        <v>599</v>
      </c>
      <c r="K559" s="264">
        <f>530000*5%</f>
        <v>26500</v>
      </c>
      <c r="L559" s="180"/>
      <c r="M559" s="181"/>
    </row>
    <row r="560" spans="1:13" x14ac:dyDescent="0.2">
      <c r="A560" s="185"/>
      <c r="B560" s="186"/>
      <c r="C560" s="187"/>
      <c r="D560" s="188"/>
      <c r="E560" s="188"/>
      <c r="F560" s="188"/>
      <c r="G560" s="188"/>
      <c r="H560" s="188"/>
      <c r="I560" s="189"/>
      <c r="J560" s="215"/>
      <c r="K560" s="359">
        <f>SUM(K556:K559)</f>
        <v>530000</v>
      </c>
      <c r="L560" s="192"/>
      <c r="M560" s="193"/>
    </row>
    <row r="561" spans="1:14" x14ac:dyDescent="0.2">
      <c r="A561" s="163">
        <v>138</v>
      </c>
      <c r="B561" s="164" t="s">
        <v>856</v>
      </c>
      <c r="C561" s="165"/>
      <c r="D561" s="166" t="s">
        <v>163</v>
      </c>
      <c r="E561" s="166"/>
      <c r="F561" s="166"/>
      <c r="G561" s="166"/>
      <c r="H561" s="166"/>
      <c r="I561" s="167" t="s">
        <v>857</v>
      </c>
      <c r="J561" s="168" t="s">
        <v>599</v>
      </c>
      <c r="K561" s="360">
        <f>530000*60%</f>
        <v>318000</v>
      </c>
      <c r="L561" s="195" t="s">
        <v>166</v>
      </c>
      <c r="M561" s="171" t="s">
        <v>858</v>
      </c>
    </row>
    <row r="562" spans="1:14" x14ac:dyDescent="0.2">
      <c r="A562" s="173"/>
      <c r="B562" s="174"/>
      <c r="C562" s="175"/>
      <c r="D562" s="176"/>
      <c r="E562" s="176"/>
      <c r="F562" s="176"/>
      <c r="G562" s="176"/>
      <c r="H562" s="176"/>
      <c r="I562" s="177" t="s">
        <v>859</v>
      </c>
      <c r="J562" s="207" t="s">
        <v>641</v>
      </c>
      <c r="K562" s="361">
        <f>530000*8%</f>
        <v>42400</v>
      </c>
      <c r="L562" s="197"/>
      <c r="M562" s="181"/>
    </row>
    <row r="563" spans="1:14" x14ac:dyDescent="0.2">
      <c r="A563" s="173"/>
      <c r="B563" s="174"/>
      <c r="C563" s="175"/>
      <c r="D563" s="176"/>
      <c r="E563" s="176"/>
      <c r="F563" s="176"/>
      <c r="G563" s="176"/>
      <c r="H563" s="176"/>
      <c r="I563" s="177" t="s">
        <v>860</v>
      </c>
      <c r="J563" s="207" t="s">
        <v>599</v>
      </c>
      <c r="K563" s="355">
        <f t="shared" ref="K563:K570" si="11">530000*4%</f>
        <v>21200</v>
      </c>
      <c r="L563" s="197"/>
      <c r="M563" s="181"/>
    </row>
    <row r="564" spans="1:14" x14ac:dyDescent="0.2">
      <c r="A564" s="173"/>
      <c r="B564" s="174"/>
      <c r="C564" s="175"/>
      <c r="D564" s="176"/>
      <c r="E564" s="176"/>
      <c r="F564" s="176"/>
      <c r="G564" s="176"/>
      <c r="H564" s="176"/>
      <c r="I564" s="177" t="s">
        <v>861</v>
      </c>
      <c r="J564" s="207" t="s">
        <v>599</v>
      </c>
      <c r="K564" s="330">
        <f t="shared" si="11"/>
        <v>21200</v>
      </c>
      <c r="L564" s="197"/>
      <c r="M564" s="181"/>
    </row>
    <row r="565" spans="1:14" x14ac:dyDescent="0.2">
      <c r="A565" s="173"/>
      <c r="B565" s="174"/>
      <c r="C565" s="175"/>
      <c r="D565" s="176"/>
      <c r="E565" s="176"/>
      <c r="F565" s="176"/>
      <c r="G565" s="176"/>
      <c r="H565" s="176"/>
      <c r="I565" s="184" t="s">
        <v>862</v>
      </c>
      <c r="J565" s="168" t="s">
        <v>362</v>
      </c>
      <c r="K565" s="361">
        <f t="shared" si="11"/>
        <v>21200</v>
      </c>
      <c r="L565" s="197"/>
      <c r="M565" s="181"/>
      <c r="N565" s="172"/>
    </row>
    <row r="566" spans="1:14" x14ac:dyDescent="0.2">
      <c r="A566" s="173"/>
      <c r="B566" s="174"/>
      <c r="C566" s="175"/>
      <c r="D566" s="176"/>
      <c r="E566" s="176"/>
      <c r="F566" s="176"/>
      <c r="G566" s="176"/>
      <c r="H566" s="176"/>
      <c r="I566" s="184" t="s">
        <v>863</v>
      </c>
      <c r="J566" s="207" t="s">
        <v>599</v>
      </c>
      <c r="K566" s="361">
        <f t="shared" si="11"/>
        <v>21200</v>
      </c>
      <c r="L566" s="197"/>
      <c r="M566" s="181"/>
    </row>
    <row r="567" spans="1:14" x14ac:dyDescent="0.2">
      <c r="A567" s="173"/>
      <c r="B567" s="174"/>
      <c r="C567" s="175"/>
      <c r="D567" s="176"/>
      <c r="E567" s="176"/>
      <c r="F567" s="176"/>
      <c r="G567" s="176"/>
      <c r="H567" s="176"/>
      <c r="I567" s="167" t="s">
        <v>864</v>
      </c>
      <c r="J567" s="207" t="s">
        <v>599</v>
      </c>
      <c r="K567" s="355">
        <f t="shared" si="11"/>
        <v>21200</v>
      </c>
      <c r="L567" s="197"/>
      <c r="M567" s="181"/>
    </row>
    <row r="568" spans="1:14" x14ac:dyDescent="0.2">
      <c r="A568" s="173"/>
      <c r="B568" s="174"/>
      <c r="C568" s="175"/>
      <c r="D568" s="176"/>
      <c r="E568" s="176"/>
      <c r="F568" s="176"/>
      <c r="G568" s="176"/>
      <c r="H568" s="176"/>
      <c r="I568" s="177" t="s">
        <v>865</v>
      </c>
      <c r="J568" s="168" t="s">
        <v>599</v>
      </c>
      <c r="K568" s="330">
        <f t="shared" si="11"/>
        <v>21200</v>
      </c>
      <c r="L568" s="197"/>
      <c r="M568" s="181"/>
    </row>
    <row r="569" spans="1:14" x14ac:dyDescent="0.2">
      <c r="A569" s="173"/>
      <c r="B569" s="174"/>
      <c r="C569" s="175"/>
      <c r="D569" s="176"/>
      <c r="E569" s="176"/>
      <c r="F569" s="176"/>
      <c r="G569" s="176"/>
      <c r="H569" s="176"/>
      <c r="I569" s="177" t="s">
        <v>866</v>
      </c>
      <c r="J569" s="207" t="s">
        <v>599</v>
      </c>
      <c r="K569" s="361">
        <f t="shared" si="11"/>
        <v>21200</v>
      </c>
      <c r="L569" s="197"/>
      <c r="M569" s="181"/>
    </row>
    <row r="570" spans="1:14" x14ac:dyDescent="0.2">
      <c r="A570" s="173"/>
      <c r="B570" s="174"/>
      <c r="C570" s="175"/>
      <c r="D570" s="176"/>
      <c r="E570" s="176"/>
      <c r="F570" s="176"/>
      <c r="G570" s="176"/>
      <c r="H570" s="176"/>
      <c r="I570" s="184" t="s">
        <v>867</v>
      </c>
      <c r="J570" s="226" t="s">
        <v>399</v>
      </c>
      <c r="K570" s="361">
        <f t="shared" si="11"/>
        <v>21200</v>
      </c>
      <c r="L570" s="197"/>
      <c r="M570" s="181"/>
    </row>
    <row r="571" spans="1:14" x14ac:dyDescent="0.2">
      <c r="A571" s="185"/>
      <c r="B571" s="186"/>
      <c r="C571" s="187"/>
      <c r="D571" s="188"/>
      <c r="E571" s="188"/>
      <c r="F571" s="188"/>
      <c r="G571" s="188"/>
      <c r="H571" s="188"/>
      <c r="I571" s="189"/>
      <c r="J571" s="203"/>
      <c r="K571" s="356">
        <f>SUM(K561:K570)</f>
        <v>530000</v>
      </c>
      <c r="L571" s="205"/>
      <c r="M571" s="193"/>
    </row>
    <row r="572" spans="1:14" ht="64.5" customHeight="1" x14ac:dyDescent="0.2">
      <c r="A572" s="305">
        <v>139</v>
      </c>
      <c r="B572" s="164" t="s">
        <v>868</v>
      </c>
      <c r="C572" s="165"/>
      <c r="D572" s="308" t="s">
        <v>163</v>
      </c>
      <c r="E572" s="308"/>
      <c r="F572" s="308"/>
      <c r="G572" s="308"/>
      <c r="H572" s="308"/>
      <c r="I572" s="282" t="s">
        <v>869</v>
      </c>
      <c r="J572" s="168" t="s">
        <v>599</v>
      </c>
      <c r="K572" s="357">
        <f>530000*100%</f>
        <v>530000</v>
      </c>
      <c r="L572" s="309" t="s">
        <v>166</v>
      </c>
      <c r="M572" s="261" t="s">
        <v>870</v>
      </c>
    </row>
    <row r="573" spans="1:14" ht="23.25" customHeight="1" x14ac:dyDescent="0.2">
      <c r="A573" s="163">
        <v>140</v>
      </c>
      <c r="B573" s="164" t="s">
        <v>871</v>
      </c>
      <c r="C573" s="165"/>
      <c r="D573" s="166" t="s">
        <v>163</v>
      </c>
      <c r="E573" s="166"/>
      <c r="F573" s="166"/>
      <c r="G573" s="166"/>
      <c r="H573" s="166"/>
      <c r="I573" s="167" t="s">
        <v>857</v>
      </c>
      <c r="J573" s="223" t="s">
        <v>599</v>
      </c>
      <c r="K573" s="360">
        <f>530000*60%</f>
        <v>318000</v>
      </c>
      <c r="L573" s="170" t="s">
        <v>166</v>
      </c>
      <c r="M573" s="171" t="s">
        <v>872</v>
      </c>
    </row>
    <row r="574" spans="1:14" x14ac:dyDescent="0.2">
      <c r="A574" s="173"/>
      <c r="B574" s="174"/>
      <c r="C574" s="175"/>
      <c r="D574" s="176"/>
      <c r="E574" s="176"/>
      <c r="F574" s="176"/>
      <c r="G574" s="176"/>
      <c r="H574" s="176"/>
      <c r="I574" s="177" t="s">
        <v>873</v>
      </c>
      <c r="J574" s="207" t="s">
        <v>599</v>
      </c>
      <c r="K574" s="264">
        <f>530000*5%</f>
        <v>26500</v>
      </c>
      <c r="L574" s="180"/>
      <c r="M574" s="181"/>
    </row>
    <row r="575" spans="1:14" x14ac:dyDescent="0.2">
      <c r="A575" s="173"/>
      <c r="B575" s="174"/>
      <c r="C575" s="175"/>
      <c r="D575" s="176"/>
      <c r="E575" s="176"/>
      <c r="F575" s="176"/>
      <c r="G575" s="176"/>
      <c r="H575" s="176"/>
      <c r="I575" s="177" t="s">
        <v>650</v>
      </c>
      <c r="J575" s="168" t="s">
        <v>599</v>
      </c>
      <c r="K575" s="358">
        <f>530000*5%</f>
        <v>26500</v>
      </c>
      <c r="L575" s="180"/>
      <c r="M575" s="181"/>
    </row>
    <row r="576" spans="1:14" x14ac:dyDescent="0.2">
      <c r="A576" s="173"/>
      <c r="B576" s="174"/>
      <c r="C576" s="175"/>
      <c r="D576" s="176"/>
      <c r="E576" s="176"/>
      <c r="F576" s="176"/>
      <c r="G576" s="176"/>
      <c r="H576" s="176"/>
      <c r="I576" s="177" t="s">
        <v>874</v>
      </c>
      <c r="J576" s="207" t="s">
        <v>362</v>
      </c>
      <c r="K576" s="330">
        <f>530000*5%</f>
        <v>26500</v>
      </c>
      <c r="L576" s="180"/>
      <c r="M576" s="181"/>
      <c r="N576" s="172"/>
    </row>
    <row r="577" spans="1:13" x14ac:dyDescent="0.2">
      <c r="A577" s="173"/>
      <c r="B577" s="174"/>
      <c r="C577" s="175"/>
      <c r="D577" s="176"/>
      <c r="E577" s="176"/>
      <c r="F577" s="176"/>
      <c r="G577" s="176"/>
      <c r="H577" s="176"/>
      <c r="I577" s="177" t="s">
        <v>875</v>
      </c>
      <c r="J577" s="249" t="s">
        <v>599</v>
      </c>
      <c r="K577" s="358">
        <f>530000*5%</f>
        <v>26500</v>
      </c>
      <c r="L577" s="180"/>
      <c r="M577" s="181"/>
    </row>
    <row r="578" spans="1:13" x14ac:dyDescent="0.2">
      <c r="A578" s="173"/>
      <c r="B578" s="174"/>
      <c r="C578" s="175"/>
      <c r="D578" s="176"/>
      <c r="E578" s="176"/>
      <c r="F578" s="176"/>
      <c r="G578" s="176"/>
      <c r="H578" s="176"/>
      <c r="I578" s="184" t="s">
        <v>864</v>
      </c>
      <c r="J578" s="168" t="s">
        <v>599</v>
      </c>
      <c r="K578" s="264">
        <f>530000*4%</f>
        <v>21200</v>
      </c>
      <c r="L578" s="180"/>
      <c r="M578" s="181"/>
    </row>
    <row r="579" spans="1:13" x14ac:dyDescent="0.2">
      <c r="A579" s="173"/>
      <c r="B579" s="174"/>
      <c r="C579" s="175"/>
      <c r="D579" s="176"/>
      <c r="E579" s="176"/>
      <c r="F579" s="176"/>
      <c r="G579" s="176"/>
      <c r="H579" s="176"/>
      <c r="I579" s="167" t="s">
        <v>865</v>
      </c>
      <c r="J579" s="207" t="s">
        <v>599</v>
      </c>
      <c r="K579" s="358">
        <f>530000*4%</f>
        <v>21200</v>
      </c>
      <c r="L579" s="180"/>
      <c r="M579" s="181"/>
    </row>
    <row r="580" spans="1:13" x14ac:dyDescent="0.2">
      <c r="A580" s="173"/>
      <c r="B580" s="174"/>
      <c r="C580" s="175"/>
      <c r="D580" s="176"/>
      <c r="E580" s="176"/>
      <c r="F580" s="176"/>
      <c r="G580" s="176"/>
      <c r="H580" s="176"/>
      <c r="I580" s="184" t="s">
        <v>866</v>
      </c>
      <c r="J580" s="207" t="s">
        <v>599</v>
      </c>
      <c r="K580" s="358">
        <f>530000*4%</f>
        <v>21200</v>
      </c>
      <c r="L580" s="180"/>
      <c r="M580" s="181"/>
    </row>
    <row r="581" spans="1:13" x14ac:dyDescent="0.2">
      <c r="A581" s="173"/>
      <c r="B581" s="174"/>
      <c r="C581" s="175"/>
      <c r="D581" s="176"/>
      <c r="E581" s="176"/>
      <c r="F581" s="176"/>
      <c r="G581" s="176"/>
      <c r="H581" s="176"/>
      <c r="I581" s="177" t="s">
        <v>867</v>
      </c>
      <c r="J581" s="168" t="s">
        <v>399</v>
      </c>
      <c r="K581" s="264">
        <f>530000*4%</f>
        <v>21200</v>
      </c>
      <c r="L581" s="180"/>
      <c r="M581" s="181"/>
    </row>
    <row r="582" spans="1:13" x14ac:dyDescent="0.2">
      <c r="A582" s="173"/>
      <c r="B582" s="174"/>
      <c r="C582" s="175"/>
      <c r="D582" s="176"/>
      <c r="E582" s="176"/>
      <c r="F582" s="176"/>
      <c r="G582" s="176"/>
      <c r="H582" s="176"/>
      <c r="I582" s="177" t="s">
        <v>876</v>
      </c>
      <c r="J582" s="207" t="s">
        <v>877</v>
      </c>
      <c r="K582" s="358">
        <f>530000*4%</f>
        <v>21200</v>
      </c>
      <c r="L582" s="180"/>
      <c r="M582" s="181"/>
    </row>
    <row r="583" spans="1:13" x14ac:dyDescent="0.2">
      <c r="A583" s="185"/>
      <c r="B583" s="186"/>
      <c r="C583" s="187"/>
      <c r="D583" s="188"/>
      <c r="E583" s="188"/>
      <c r="F583" s="188"/>
      <c r="G583" s="188"/>
      <c r="H583" s="188"/>
      <c r="I583" s="202"/>
      <c r="J583" s="215"/>
      <c r="K583" s="359">
        <f>SUM(K573:K582)</f>
        <v>530000</v>
      </c>
      <c r="L583" s="192"/>
      <c r="M583" s="193"/>
    </row>
    <row r="584" spans="1:13" x14ac:dyDescent="0.2">
      <c r="A584" s="163">
        <v>141</v>
      </c>
      <c r="B584" s="164" t="s">
        <v>878</v>
      </c>
      <c r="C584" s="165"/>
      <c r="D584" s="166" t="s">
        <v>163</v>
      </c>
      <c r="E584" s="166"/>
      <c r="F584" s="166"/>
      <c r="G584" s="166"/>
      <c r="H584" s="166"/>
      <c r="I584" s="167" t="s">
        <v>879</v>
      </c>
      <c r="J584" s="223" t="s">
        <v>599</v>
      </c>
      <c r="K584" s="360">
        <f>450000*60%</f>
        <v>270000</v>
      </c>
      <c r="L584" s="170" t="s">
        <v>166</v>
      </c>
      <c r="M584" s="171" t="s">
        <v>880</v>
      </c>
    </row>
    <row r="585" spans="1:13" x14ac:dyDescent="0.2">
      <c r="A585" s="173"/>
      <c r="B585" s="174"/>
      <c r="C585" s="175"/>
      <c r="D585" s="176"/>
      <c r="E585" s="176"/>
      <c r="F585" s="176"/>
      <c r="G585" s="176"/>
      <c r="H585" s="176"/>
      <c r="I585" s="177" t="s">
        <v>881</v>
      </c>
      <c r="J585" s="168" t="s">
        <v>641</v>
      </c>
      <c r="K585" s="264">
        <f>450000*20%</f>
        <v>90000</v>
      </c>
      <c r="L585" s="180"/>
      <c r="M585" s="181"/>
    </row>
    <row r="586" spans="1:13" x14ac:dyDescent="0.2">
      <c r="A586" s="173"/>
      <c r="B586" s="174"/>
      <c r="C586" s="175"/>
      <c r="D586" s="176"/>
      <c r="E586" s="176"/>
      <c r="F586" s="176"/>
      <c r="G586" s="176"/>
      <c r="H586" s="176"/>
      <c r="I586" s="177" t="s">
        <v>882</v>
      </c>
      <c r="J586" s="207" t="s">
        <v>599</v>
      </c>
      <c r="K586" s="264">
        <f>450000*10%</f>
        <v>45000</v>
      </c>
      <c r="L586" s="180"/>
      <c r="M586" s="181"/>
    </row>
    <row r="587" spans="1:13" x14ac:dyDescent="0.2">
      <c r="A587" s="173"/>
      <c r="B587" s="174"/>
      <c r="C587" s="175"/>
      <c r="D587" s="176"/>
      <c r="E587" s="176"/>
      <c r="F587" s="176"/>
      <c r="G587" s="176"/>
      <c r="H587" s="176"/>
      <c r="I587" s="184" t="s">
        <v>883</v>
      </c>
      <c r="J587" s="207" t="s">
        <v>224</v>
      </c>
      <c r="K587" s="264">
        <f>450000*5%</f>
        <v>22500</v>
      </c>
      <c r="L587" s="180"/>
      <c r="M587" s="181"/>
    </row>
    <row r="588" spans="1:13" x14ac:dyDescent="0.2">
      <c r="A588" s="173"/>
      <c r="B588" s="174"/>
      <c r="C588" s="175"/>
      <c r="D588" s="176"/>
      <c r="E588" s="176"/>
      <c r="F588" s="176"/>
      <c r="G588" s="176"/>
      <c r="H588" s="176"/>
      <c r="I588" s="167" t="s">
        <v>884</v>
      </c>
      <c r="J588" s="207" t="s">
        <v>641</v>
      </c>
      <c r="K588" s="264">
        <f>450000*5%</f>
        <v>22500</v>
      </c>
      <c r="L588" s="180"/>
      <c r="M588" s="181"/>
    </row>
    <row r="589" spans="1:13" x14ac:dyDescent="0.2">
      <c r="A589" s="185"/>
      <c r="B589" s="186"/>
      <c r="C589" s="187"/>
      <c r="D589" s="188"/>
      <c r="E589" s="188"/>
      <c r="F589" s="188"/>
      <c r="G589" s="188"/>
      <c r="H589" s="188"/>
      <c r="I589" s="202"/>
      <c r="J589" s="215"/>
      <c r="K589" s="359">
        <f>SUM(K584:K588)</f>
        <v>450000</v>
      </c>
      <c r="L589" s="192"/>
      <c r="M589" s="193"/>
    </row>
    <row r="590" spans="1:13" x14ac:dyDescent="0.2">
      <c r="A590" s="163">
        <v>142</v>
      </c>
      <c r="B590" s="164" t="s">
        <v>885</v>
      </c>
      <c r="C590" s="165"/>
      <c r="D590" s="166" t="s">
        <v>163</v>
      </c>
      <c r="E590" s="166"/>
      <c r="F590" s="166"/>
      <c r="G590" s="166"/>
      <c r="H590" s="166"/>
      <c r="I590" s="167" t="s">
        <v>886</v>
      </c>
      <c r="J590" s="223" t="s">
        <v>599</v>
      </c>
      <c r="K590" s="360">
        <f>30000*35%</f>
        <v>10500</v>
      </c>
      <c r="L590" s="170" t="s">
        <v>166</v>
      </c>
      <c r="M590" s="171" t="s">
        <v>887</v>
      </c>
    </row>
    <row r="591" spans="1:13" x14ac:dyDescent="0.2">
      <c r="A591" s="173"/>
      <c r="B591" s="174"/>
      <c r="C591" s="175"/>
      <c r="D591" s="176"/>
      <c r="E591" s="176"/>
      <c r="F591" s="176"/>
      <c r="G591" s="176"/>
      <c r="H591" s="176"/>
      <c r="I591" s="177" t="s">
        <v>888</v>
      </c>
      <c r="J591" s="168" t="s">
        <v>599</v>
      </c>
      <c r="K591" s="358">
        <f>30000*30%</f>
        <v>9000</v>
      </c>
      <c r="L591" s="180"/>
      <c r="M591" s="181"/>
    </row>
    <row r="592" spans="1:13" x14ac:dyDescent="0.2">
      <c r="A592" s="173"/>
      <c r="B592" s="174"/>
      <c r="C592" s="175"/>
      <c r="D592" s="176"/>
      <c r="E592" s="176"/>
      <c r="F592" s="176"/>
      <c r="G592" s="176"/>
      <c r="H592" s="176"/>
      <c r="I592" s="177" t="s">
        <v>889</v>
      </c>
      <c r="J592" s="226" t="s">
        <v>641</v>
      </c>
      <c r="K592" s="358">
        <f>30000*30%</f>
        <v>9000</v>
      </c>
      <c r="L592" s="180"/>
      <c r="M592" s="181"/>
    </row>
    <row r="593" spans="1:13" x14ac:dyDescent="0.2">
      <c r="A593" s="173"/>
      <c r="B593" s="174"/>
      <c r="C593" s="175"/>
      <c r="D593" s="176"/>
      <c r="E593" s="176"/>
      <c r="F593" s="176"/>
      <c r="G593" s="176"/>
      <c r="H593" s="176"/>
      <c r="I593" s="177" t="s">
        <v>884</v>
      </c>
      <c r="J593" s="226" t="s">
        <v>641</v>
      </c>
      <c r="K593" s="330">
        <f>30000*5%</f>
        <v>1500</v>
      </c>
      <c r="L593" s="180"/>
      <c r="M593" s="181"/>
    </row>
    <row r="594" spans="1:13" x14ac:dyDescent="0.2">
      <c r="A594" s="185"/>
      <c r="B594" s="186"/>
      <c r="C594" s="187"/>
      <c r="D594" s="188"/>
      <c r="E594" s="188"/>
      <c r="F594" s="188"/>
      <c r="G594" s="188"/>
      <c r="H594" s="188"/>
      <c r="I594" s="202"/>
      <c r="J594" s="203"/>
      <c r="K594" s="359">
        <f>SUM(K590:K593)</f>
        <v>30000</v>
      </c>
      <c r="L594" s="192"/>
      <c r="M594" s="193"/>
    </row>
    <row r="595" spans="1:13" x14ac:dyDescent="0.2">
      <c r="A595" s="163">
        <v>143</v>
      </c>
      <c r="B595" s="164" t="s">
        <v>890</v>
      </c>
      <c r="C595" s="165"/>
      <c r="D595" s="166" t="s">
        <v>163</v>
      </c>
      <c r="E595" s="166"/>
      <c r="F595" s="166"/>
      <c r="G595" s="166"/>
      <c r="H595" s="166"/>
      <c r="I595" s="217" t="s">
        <v>891</v>
      </c>
      <c r="J595" s="168" t="s">
        <v>599</v>
      </c>
      <c r="K595" s="360">
        <f>390000*55%</f>
        <v>214500.00000000003</v>
      </c>
      <c r="L595" s="170" t="s">
        <v>166</v>
      </c>
      <c r="M595" s="171" t="s">
        <v>892</v>
      </c>
    </row>
    <row r="596" spans="1:13" x14ac:dyDescent="0.2">
      <c r="A596" s="173"/>
      <c r="B596" s="174"/>
      <c r="C596" s="175"/>
      <c r="D596" s="176"/>
      <c r="E596" s="176"/>
      <c r="F596" s="176"/>
      <c r="G596" s="176"/>
      <c r="H596" s="176"/>
      <c r="I596" s="184" t="s">
        <v>893</v>
      </c>
      <c r="J596" s="207" t="s">
        <v>599</v>
      </c>
      <c r="K596" s="358">
        <f>390000*20%</f>
        <v>78000</v>
      </c>
      <c r="L596" s="180"/>
      <c r="M596" s="181"/>
    </row>
    <row r="597" spans="1:13" x14ac:dyDescent="0.2">
      <c r="A597" s="173"/>
      <c r="B597" s="174"/>
      <c r="C597" s="175"/>
      <c r="D597" s="176"/>
      <c r="E597" s="176"/>
      <c r="F597" s="176"/>
      <c r="G597" s="176"/>
      <c r="H597" s="176"/>
      <c r="I597" s="167" t="s">
        <v>881</v>
      </c>
      <c r="J597" s="207" t="s">
        <v>641</v>
      </c>
      <c r="K597" s="358">
        <f>390000*20%</f>
        <v>78000</v>
      </c>
      <c r="L597" s="180"/>
      <c r="M597" s="181"/>
    </row>
    <row r="598" spans="1:13" x14ac:dyDescent="0.2">
      <c r="A598" s="173"/>
      <c r="B598" s="174"/>
      <c r="C598" s="175"/>
      <c r="D598" s="176"/>
      <c r="E598" s="176"/>
      <c r="F598" s="176"/>
      <c r="G598" s="176"/>
      <c r="H598" s="176"/>
      <c r="I598" s="184" t="s">
        <v>884</v>
      </c>
      <c r="J598" s="207" t="s">
        <v>641</v>
      </c>
      <c r="K598" s="358">
        <f>390000*5%</f>
        <v>19500</v>
      </c>
      <c r="L598" s="180"/>
      <c r="M598" s="181"/>
    </row>
    <row r="599" spans="1:13" x14ac:dyDescent="0.2">
      <c r="A599" s="185"/>
      <c r="B599" s="186"/>
      <c r="C599" s="187"/>
      <c r="D599" s="188"/>
      <c r="E599" s="188"/>
      <c r="F599" s="188"/>
      <c r="G599" s="188"/>
      <c r="H599" s="188"/>
      <c r="I599" s="189"/>
      <c r="J599" s="203"/>
      <c r="K599" s="362">
        <f>SUM(K595:K598)</f>
        <v>390000</v>
      </c>
      <c r="L599" s="192"/>
      <c r="M599" s="193"/>
    </row>
    <row r="600" spans="1:13" x14ac:dyDescent="0.2">
      <c r="A600" s="163">
        <v>144</v>
      </c>
      <c r="B600" s="164" t="s">
        <v>894</v>
      </c>
      <c r="C600" s="165"/>
      <c r="D600" s="166" t="s">
        <v>163</v>
      </c>
      <c r="E600" s="166"/>
      <c r="F600" s="166"/>
      <c r="G600" s="166"/>
      <c r="H600" s="166"/>
      <c r="I600" s="217" t="s">
        <v>895</v>
      </c>
      <c r="J600" s="223" t="s">
        <v>599</v>
      </c>
      <c r="K600" s="357">
        <f>350150*50%</f>
        <v>175075</v>
      </c>
      <c r="L600" s="170" t="s">
        <v>166</v>
      </c>
      <c r="M600" s="171" t="s">
        <v>896</v>
      </c>
    </row>
    <row r="601" spans="1:13" x14ac:dyDescent="0.2">
      <c r="A601" s="173"/>
      <c r="B601" s="174"/>
      <c r="C601" s="175"/>
      <c r="D601" s="176"/>
      <c r="E601" s="176"/>
      <c r="F601" s="176"/>
      <c r="G601" s="176"/>
      <c r="H601" s="176"/>
      <c r="I601" s="184" t="s">
        <v>897</v>
      </c>
      <c r="J601" s="249" t="s">
        <v>599</v>
      </c>
      <c r="K601" s="330">
        <f>350150*25%</f>
        <v>87537.5</v>
      </c>
      <c r="L601" s="180"/>
      <c r="M601" s="181"/>
    </row>
    <row r="602" spans="1:13" x14ac:dyDescent="0.2">
      <c r="A602" s="173"/>
      <c r="B602" s="174"/>
      <c r="C602" s="175"/>
      <c r="D602" s="176"/>
      <c r="E602" s="176"/>
      <c r="F602" s="176"/>
      <c r="G602" s="176"/>
      <c r="H602" s="176"/>
      <c r="I602" s="167" t="s">
        <v>881</v>
      </c>
      <c r="J602" s="207" t="s">
        <v>641</v>
      </c>
      <c r="K602" s="358">
        <f>350150*20%</f>
        <v>70030</v>
      </c>
      <c r="L602" s="180"/>
      <c r="M602" s="181"/>
    </row>
    <row r="603" spans="1:13" x14ac:dyDescent="0.2">
      <c r="A603" s="173"/>
      <c r="B603" s="174"/>
      <c r="C603" s="175"/>
      <c r="D603" s="176"/>
      <c r="E603" s="176"/>
      <c r="F603" s="176"/>
      <c r="G603" s="176"/>
      <c r="H603" s="176"/>
      <c r="I603" s="184" t="s">
        <v>884</v>
      </c>
      <c r="J603" s="207" t="s">
        <v>641</v>
      </c>
      <c r="K603" s="330">
        <f>350150*5%</f>
        <v>17507.5</v>
      </c>
      <c r="L603" s="180"/>
      <c r="M603" s="181"/>
    </row>
    <row r="604" spans="1:13" x14ac:dyDescent="0.2">
      <c r="A604" s="185"/>
      <c r="B604" s="186"/>
      <c r="C604" s="187"/>
      <c r="D604" s="188"/>
      <c r="E604" s="188"/>
      <c r="F604" s="188"/>
      <c r="G604" s="188"/>
      <c r="H604" s="188"/>
      <c r="I604" s="202"/>
      <c r="J604" s="215"/>
      <c r="K604" s="359">
        <f>SUM(K600:K603)</f>
        <v>350150</v>
      </c>
      <c r="L604" s="192"/>
      <c r="M604" s="193"/>
    </row>
    <row r="605" spans="1:13" x14ac:dyDescent="0.2">
      <c r="A605" s="163">
        <v>145</v>
      </c>
      <c r="B605" s="164" t="s">
        <v>898</v>
      </c>
      <c r="C605" s="165"/>
      <c r="D605" s="166" t="s">
        <v>163</v>
      </c>
      <c r="E605" s="166"/>
      <c r="F605" s="166"/>
      <c r="G605" s="166"/>
      <c r="H605" s="166"/>
      <c r="I605" s="167" t="s">
        <v>899</v>
      </c>
      <c r="J605" s="223" t="s">
        <v>599</v>
      </c>
      <c r="K605" s="360">
        <f>110000*90%</f>
        <v>99000</v>
      </c>
      <c r="L605" s="170" t="s">
        <v>166</v>
      </c>
      <c r="M605" s="171" t="s">
        <v>900</v>
      </c>
    </row>
    <row r="606" spans="1:13" x14ac:dyDescent="0.2">
      <c r="A606" s="173"/>
      <c r="B606" s="174"/>
      <c r="C606" s="175"/>
      <c r="D606" s="176"/>
      <c r="E606" s="176"/>
      <c r="F606" s="176"/>
      <c r="G606" s="176"/>
      <c r="H606" s="176"/>
      <c r="I606" s="184" t="s">
        <v>901</v>
      </c>
      <c r="J606" s="207" t="s">
        <v>599</v>
      </c>
      <c r="K606" s="358">
        <f>110000*10%</f>
        <v>11000</v>
      </c>
      <c r="L606" s="180"/>
      <c r="M606" s="181"/>
    </row>
    <row r="607" spans="1:13" x14ac:dyDescent="0.2">
      <c r="A607" s="185"/>
      <c r="B607" s="186"/>
      <c r="C607" s="187"/>
      <c r="D607" s="188"/>
      <c r="E607" s="188"/>
      <c r="F607" s="188"/>
      <c r="G607" s="188"/>
      <c r="H607" s="188"/>
      <c r="I607" s="189"/>
      <c r="J607" s="215"/>
      <c r="K607" s="362">
        <f>SUM(K605:K606)</f>
        <v>110000</v>
      </c>
      <c r="L607" s="192"/>
      <c r="M607" s="193"/>
    </row>
    <row r="608" spans="1:13" x14ac:dyDescent="0.2">
      <c r="A608" s="163">
        <v>146</v>
      </c>
      <c r="B608" s="164" t="s">
        <v>902</v>
      </c>
      <c r="C608" s="165"/>
      <c r="D608" s="166" t="s">
        <v>163</v>
      </c>
      <c r="E608" s="166"/>
      <c r="F608" s="166"/>
      <c r="G608" s="166"/>
      <c r="H608" s="166"/>
      <c r="I608" s="217" t="s">
        <v>903</v>
      </c>
      <c r="J608" s="168" t="s">
        <v>599</v>
      </c>
      <c r="K608" s="357">
        <f>190000*55%</f>
        <v>104500.00000000001</v>
      </c>
      <c r="L608" s="170" t="s">
        <v>166</v>
      </c>
      <c r="M608" s="171" t="s">
        <v>904</v>
      </c>
    </row>
    <row r="609" spans="1:14" x14ac:dyDescent="0.2">
      <c r="A609" s="173"/>
      <c r="B609" s="174"/>
      <c r="C609" s="175"/>
      <c r="D609" s="176"/>
      <c r="E609" s="176"/>
      <c r="F609" s="176"/>
      <c r="G609" s="176"/>
      <c r="H609" s="176"/>
      <c r="I609" s="184" t="s">
        <v>905</v>
      </c>
      <c r="J609" s="226" t="s">
        <v>599</v>
      </c>
      <c r="K609" s="358">
        <f>190000*15%</f>
        <v>28500</v>
      </c>
      <c r="L609" s="180"/>
      <c r="M609" s="181"/>
    </row>
    <row r="610" spans="1:14" x14ac:dyDescent="0.2">
      <c r="A610" s="173"/>
      <c r="B610" s="174"/>
      <c r="C610" s="175"/>
      <c r="D610" s="176"/>
      <c r="E610" s="176"/>
      <c r="F610" s="176"/>
      <c r="G610" s="176"/>
      <c r="H610" s="176"/>
      <c r="I610" s="167" t="s">
        <v>906</v>
      </c>
      <c r="J610" s="207" t="s">
        <v>599</v>
      </c>
      <c r="K610" s="358">
        <f>190000*15%</f>
        <v>28500</v>
      </c>
      <c r="L610" s="180"/>
      <c r="M610" s="181"/>
    </row>
    <row r="611" spans="1:14" x14ac:dyDescent="0.2">
      <c r="A611" s="173"/>
      <c r="B611" s="174"/>
      <c r="C611" s="175"/>
      <c r="D611" s="176"/>
      <c r="E611" s="176"/>
      <c r="F611" s="176"/>
      <c r="G611" s="176"/>
      <c r="H611" s="176"/>
      <c r="I611" s="177" t="s">
        <v>907</v>
      </c>
      <c r="J611" s="207" t="s">
        <v>599</v>
      </c>
      <c r="K611" s="330">
        <f>190000*15%</f>
        <v>28500</v>
      </c>
      <c r="L611" s="180"/>
      <c r="M611" s="181"/>
    </row>
    <row r="612" spans="1:14" x14ac:dyDescent="0.2">
      <c r="A612" s="185"/>
      <c r="B612" s="186"/>
      <c r="C612" s="187"/>
      <c r="D612" s="188"/>
      <c r="E612" s="188"/>
      <c r="F612" s="188"/>
      <c r="G612" s="188"/>
      <c r="H612" s="188"/>
      <c r="I612" s="202"/>
      <c r="J612" s="203"/>
      <c r="K612" s="359">
        <f>SUM(K608:K611)</f>
        <v>190000</v>
      </c>
      <c r="L612" s="192"/>
      <c r="M612" s="193"/>
    </row>
    <row r="613" spans="1:14" x14ac:dyDescent="0.2">
      <c r="A613" s="163">
        <v>147</v>
      </c>
      <c r="B613" s="164" t="s">
        <v>908</v>
      </c>
      <c r="C613" s="165"/>
      <c r="D613" s="166" t="s">
        <v>163</v>
      </c>
      <c r="E613" s="166"/>
      <c r="F613" s="166"/>
      <c r="G613" s="166"/>
      <c r="H613" s="166"/>
      <c r="I613" s="167" t="s">
        <v>909</v>
      </c>
      <c r="J613" s="168" t="s">
        <v>599</v>
      </c>
      <c r="K613" s="360">
        <f>190000*40%</f>
        <v>76000</v>
      </c>
      <c r="L613" s="170" t="s">
        <v>166</v>
      </c>
      <c r="M613" s="171" t="s">
        <v>910</v>
      </c>
    </row>
    <row r="614" spans="1:14" x14ac:dyDescent="0.2">
      <c r="A614" s="173"/>
      <c r="B614" s="174"/>
      <c r="C614" s="175"/>
      <c r="D614" s="176"/>
      <c r="E614" s="176"/>
      <c r="F614" s="176"/>
      <c r="G614" s="176"/>
      <c r="H614" s="176"/>
      <c r="I614" s="184" t="s">
        <v>911</v>
      </c>
      <c r="J614" s="226" t="s">
        <v>599</v>
      </c>
      <c r="K614" s="264">
        <f>190000*30%</f>
        <v>57000</v>
      </c>
      <c r="L614" s="180"/>
      <c r="M614" s="181"/>
    </row>
    <row r="615" spans="1:14" x14ac:dyDescent="0.2">
      <c r="A615" s="173"/>
      <c r="B615" s="174"/>
      <c r="C615" s="175"/>
      <c r="D615" s="176"/>
      <c r="E615" s="176"/>
      <c r="F615" s="176"/>
      <c r="G615" s="176"/>
      <c r="H615" s="176"/>
      <c r="I615" s="177" t="s">
        <v>912</v>
      </c>
      <c r="J615" s="207" t="s">
        <v>599</v>
      </c>
      <c r="K615" s="264">
        <f>190000*10%</f>
        <v>19000</v>
      </c>
      <c r="L615" s="180"/>
      <c r="M615" s="181"/>
    </row>
    <row r="616" spans="1:14" x14ac:dyDescent="0.2">
      <c r="A616" s="173"/>
      <c r="B616" s="174"/>
      <c r="C616" s="175"/>
      <c r="D616" s="176"/>
      <c r="E616" s="176"/>
      <c r="F616" s="176"/>
      <c r="G616" s="176"/>
      <c r="H616" s="176"/>
      <c r="I616" s="177" t="s">
        <v>913</v>
      </c>
      <c r="J616" s="168" t="s">
        <v>599</v>
      </c>
      <c r="K616" s="358">
        <f>190000*10%</f>
        <v>19000</v>
      </c>
      <c r="L616" s="180"/>
      <c r="M616" s="181"/>
    </row>
    <row r="617" spans="1:14" x14ac:dyDescent="0.2">
      <c r="A617" s="173"/>
      <c r="B617" s="174"/>
      <c r="C617" s="175"/>
      <c r="D617" s="176"/>
      <c r="E617" s="176"/>
      <c r="F617" s="176"/>
      <c r="G617" s="176"/>
      <c r="H617" s="176"/>
      <c r="I617" s="184" t="s">
        <v>914</v>
      </c>
      <c r="J617" s="207" t="s">
        <v>599</v>
      </c>
      <c r="K617" s="330">
        <f>190000*10%</f>
        <v>19000</v>
      </c>
      <c r="L617" s="180"/>
      <c r="M617" s="181"/>
    </row>
    <row r="618" spans="1:14" x14ac:dyDescent="0.2">
      <c r="A618" s="185"/>
      <c r="B618" s="186"/>
      <c r="C618" s="187"/>
      <c r="D618" s="188"/>
      <c r="E618" s="188"/>
      <c r="F618" s="188"/>
      <c r="G618" s="188"/>
      <c r="H618" s="188"/>
      <c r="I618" s="189"/>
      <c r="J618" s="215"/>
      <c r="K618" s="359">
        <f>SUM(K613:K617)</f>
        <v>190000</v>
      </c>
      <c r="L618" s="192"/>
      <c r="M618" s="193"/>
    </row>
    <row r="619" spans="1:14" x14ac:dyDescent="0.2">
      <c r="A619" s="163">
        <v>148</v>
      </c>
      <c r="B619" s="164" t="s">
        <v>915</v>
      </c>
      <c r="C619" s="165"/>
      <c r="D619" s="166" t="s">
        <v>163</v>
      </c>
      <c r="E619" s="166"/>
      <c r="F619" s="166"/>
      <c r="G619" s="166"/>
      <c r="H619" s="166"/>
      <c r="I619" s="217" t="s">
        <v>916</v>
      </c>
      <c r="J619" s="168" t="s">
        <v>599</v>
      </c>
      <c r="K619" s="360">
        <f>115585*40%</f>
        <v>46234</v>
      </c>
      <c r="L619" s="170" t="s">
        <v>166</v>
      </c>
      <c r="M619" s="171" t="s">
        <v>917</v>
      </c>
    </row>
    <row r="620" spans="1:14" x14ac:dyDescent="0.2">
      <c r="A620" s="173"/>
      <c r="B620" s="174"/>
      <c r="C620" s="175"/>
      <c r="D620" s="176"/>
      <c r="E620" s="176"/>
      <c r="F620" s="176"/>
      <c r="G620" s="176"/>
      <c r="H620" s="176"/>
      <c r="I620" s="167" t="s">
        <v>918</v>
      </c>
      <c r="J620" s="207" t="s">
        <v>919</v>
      </c>
      <c r="K620" s="264">
        <f>115585*40%</f>
        <v>46234</v>
      </c>
      <c r="L620" s="180"/>
      <c r="M620" s="181"/>
      <c r="N620" s="172"/>
    </row>
    <row r="621" spans="1:14" x14ac:dyDescent="0.2">
      <c r="A621" s="173"/>
      <c r="B621" s="174"/>
      <c r="C621" s="175"/>
      <c r="D621" s="176"/>
      <c r="E621" s="176"/>
      <c r="F621" s="176"/>
      <c r="G621" s="176"/>
      <c r="H621" s="176"/>
      <c r="I621" s="177" t="s">
        <v>920</v>
      </c>
      <c r="J621" s="168" t="s">
        <v>599</v>
      </c>
      <c r="K621" s="358">
        <f>115585*10%</f>
        <v>11558.5</v>
      </c>
      <c r="L621" s="180"/>
      <c r="M621" s="181"/>
    </row>
    <row r="622" spans="1:14" x14ac:dyDescent="0.2">
      <c r="A622" s="173"/>
      <c r="B622" s="174"/>
      <c r="C622" s="175"/>
      <c r="D622" s="176"/>
      <c r="E622" s="176"/>
      <c r="F622" s="176"/>
      <c r="G622" s="176"/>
      <c r="H622" s="176"/>
      <c r="I622" s="177" t="s">
        <v>921</v>
      </c>
      <c r="J622" s="207" t="s">
        <v>599</v>
      </c>
      <c r="K622" s="330">
        <f>115585*10%</f>
        <v>11558.5</v>
      </c>
      <c r="L622" s="180"/>
      <c r="M622" s="181"/>
    </row>
    <row r="623" spans="1:14" x14ac:dyDescent="0.2">
      <c r="A623" s="185"/>
      <c r="B623" s="186"/>
      <c r="C623" s="187"/>
      <c r="D623" s="188"/>
      <c r="E623" s="188"/>
      <c r="F623" s="188"/>
      <c r="G623" s="188"/>
      <c r="H623" s="188"/>
      <c r="I623" s="202"/>
      <c r="J623" s="203"/>
      <c r="K623" s="359">
        <f>SUM(K619:K622)</f>
        <v>115585</v>
      </c>
      <c r="L623" s="192"/>
      <c r="M623" s="193"/>
    </row>
    <row r="624" spans="1:14" x14ac:dyDescent="0.2">
      <c r="A624" s="163">
        <v>149</v>
      </c>
      <c r="B624" s="164" t="s">
        <v>922</v>
      </c>
      <c r="C624" s="165"/>
      <c r="D624" s="166" t="s">
        <v>163</v>
      </c>
      <c r="E624" s="166"/>
      <c r="F624" s="166"/>
      <c r="G624" s="166"/>
      <c r="H624" s="166"/>
      <c r="I624" s="167" t="s">
        <v>923</v>
      </c>
      <c r="J624" s="168" t="s">
        <v>599</v>
      </c>
      <c r="K624" s="357">
        <f>258549*95%</f>
        <v>245621.55</v>
      </c>
      <c r="L624" s="170" t="s">
        <v>166</v>
      </c>
      <c r="M624" s="171" t="s">
        <v>924</v>
      </c>
    </row>
    <row r="625" spans="1:13" x14ac:dyDescent="0.2">
      <c r="A625" s="173"/>
      <c r="B625" s="174"/>
      <c r="C625" s="175"/>
      <c r="D625" s="176"/>
      <c r="E625" s="176"/>
      <c r="F625" s="176"/>
      <c r="G625" s="176"/>
      <c r="H625" s="176"/>
      <c r="I625" s="177" t="s">
        <v>925</v>
      </c>
      <c r="J625" s="207" t="s">
        <v>599</v>
      </c>
      <c r="K625" s="330">
        <f>258549*5%</f>
        <v>12927.45</v>
      </c>
      <c r="L625" s="180"/>
      <c r="M625" s="181"/>
    </row>
    <row r="626" spans="1:13" x14ac:dyDescent="0.2">
      <c r="A626" s="185"/>
      <c r="B626" s="186"/>
      <c r="C626" s="187"/>
      <c r="D626" s="188"/>
      <c r="E626" s="188"/>
      <c r="F626" s="188"/>
      <c r="G626" s="188"/>
      <c r="H626" s="188"/>
      <c r="I626" s="202"/>
      <c r="J626" s="215"/>
      <c r="K626" s="359">
        <f>SUM(K624:K625)</f>
        <v>258549</v>
      </c>
      <c r="L626" s="192"/>
      <c r="M626" s="193"/>
    </row>
    <row r="627" spans="1:13" ht="66.75" customHeight="1" x14ac:dyDescent="0.2">
      <c r="A627" s="305">
        <v>150</v>
      </c>
      <c r="B627" s="164" t="s">
        <v>926</v>
      </c>
      <c r="C627" s="165"/>
      <c r="D627" s="308" t="s">
        <v>163</v>
      </c>
      <c r="E627" s="308"/>
      <c r="F627" s="308"/>
      <c r="G627" s="308"/>
      <c r="H627" s="308"/>
      <c r="I627" s="282" t="s">
        <v>927</v>
      </c>
      <c r="J627" s="223" t="s">
        <v>599</v>
      </c>
      <c r="K627" s="357">
        <f>12000*100%</f>
        <v>12000</v>
      </c>
      <c r="L627" s="309" t="s">
        <v>166</v>
      </c>
      <c r="M627" s="261" t="s">
        <v>928</v>
      </c>
    </row>
    <row r="628" spans="1:13" x14ac:dyDescent="0.2">
      <c r="A628" s="163">
        <v>151</v>
      </c>
      <c r="B628" s="164" t="s">
        <v>929</v>
      </c>
      <c r="C628" s="165"/>
      <c r="D628" s="166" t="s">
        <v>163</v>
      </c>
      <c r="E628" s="166"/>
      <c r="F628" s="166"/>
      <c r="G628" s="166"/>
      <c r="H628" s="166"/>
      <c r="I628" s="167" t="s">
        <v>930</v>
      </c>
      <c r="J628" s="223" t="s">
        <v>599</v>
      </c>
      <c r="K628" s="360">
        <f>100000*35%</f>
        <v>35000</v>
      </c>
      <c r="L628" s="170" t="s">
        <v>166</v>
      </c>
      <c r="M628" s="171" t="s">
        <v>931</v>
      </c>
    </row>
    <row r="629" spans="1:13" x14ac:dyDescent="0.2">
      <c r="A629" s="173"/>
      <c r="B629" s="174"/>
      <c r="C629" s="175"/>
      <c r="D629" s="176"/>
      <c r="E629" s="176"/>
      <c r="F629" s="176"/>
      <c r="G629" s="176"/>
      <c r="H629" s="176"/>
      <c r="I629" s="177" t="s">
        <v>932</v>
      </c>
      <c r="J629" s="249" t="s">
        <v>599</v>
      </c>
      <c r="K629" s="358">
        <f>100000*35%</f>
        <v>35000</v>
      </c>
      <c r="L629" s="180"/>
      <c r="M629" s="181"/>
    </row>
    <row r="630" spans="1:13" x14ac:dyDescent="0.2">
      <c r="A630" s="173"/>
      <c r="B630" s="174"/>
      <c r="C630" s="175"/>
      <c r="D630" s="176"/>
      <c r="E630" s="176"/>
      <c r="F630" s="176"/>
      <c r="G630" s="176"/>
      <c r="H630" s="176"/>
      <c r="I630" s="177" t="s">
        <v>933</v>
      </c>
      <c r="J630" s="249" t="s">
        <v>599</v>
      </c>
      <c r="K630" s="330">
        <f>100000*10%</f>
        <v>10000</v>
      </c>
      <c r="L630" s="180"/>
      <c r="M630" s="181"/>
    </row>
    <row r="631" spans="1:13" x14ac:dyDescent="0.2">
      <c r="A631" s="173"/>
      <c r="B631" s="174"/>
      <c r="C631" s="175"/>
      <c r="D631" s="176"/>
      <c r="E631" s="176"/>
      <c r="F631" s="176"/>
      <c r="G631" s="176"/>
      <c r="H631" s="176"/>
      <c r="I631" s="184" t="s">
        <v>934</v>
      </c>
      <c r="J631" s="249" t="s">
        <v>599</v>
      </c>
      <c r="K631" s="358">
        <f>100000*10%</f>
        <v>10000</v>
      </c>
      <c r="L631" s="180"/>
      <c r="M631" s="181"/>
    </row>
    <row r="632" spans="1:13" x14ac:dyDescent="0.2">
      <c r="A632" s="173"/>
      <c r="B632" s="174"/>
      <c r="C632" s="175"/>
      <c r="D632" s="176"/>
      <c r="E632" s="176"/>
      <c r="F632" s="176"/>
      <c r="G632" s="176"/>
      <c r="H632" s="176"/>
      <c r="I632" s="184" t="s">
        <v>935</v>
      </c>
      <c r="J632" s="249" t="s">
        <v>599</v>
      </c>
      <c r="K632" s="358">
        <f>100000*10%</f>
        <v>10000</v>
      </c>
      <c r="L632" s="180"/>
      <c r="M632" s="181"/>
    </row>
    <row r="633" spans="1:13" x14ac:dyDescent="0.2">
      <c r="A633" s="185"/>
      <c r="B633" s="186"/>
      <c r="C633" s="187"/>
      <c r="D633" s="188"/>
      <c r="E633" s="188"/>
      <c r="F633" s="188"/>
      <c r="G633" s="188"/>
      <c r="H633" s="188"/>
      <c r="I633" s="189"/>
      <c r="J633" s="215"/>
      <c r="K633" s="362">
        <f>SUM(K628:K632)</f>
        <v>100000</v>
      </c>
      <c r="L633" s="192"/>
      <c r="M633" s="193"/>
    </row>
    <row r="634" spans="1:13" x14ac:dyDescent="0.2">
      <c r="A634" s="163">
        <v>152</v>
      </c>
      <c r="B634" s="164" t="s">
        <v>936</v>
      </c>
      <c r="C634" s="165"/>
      <c r="D634" s="166" t="s">
        <v>163</v>
      </c>
      <c r="E634" s="166"/>
      <c r="F634" s="166"/>
      <c r="G634" s="166"/>
      <c r="H634" s="166"/>
      <c r="I634" s="167" t="s">
        <v>937</v>
      </c>
      <c r="J634" s="168" t="s">
        <v>599</v>
      </c>
      <c r="K634" s="357">
        <f>100000*60%</f>
        <v>60000</v>
      </c>
      <c r="L634" s="170" t="s">
        <v>166</v>
      </c>
      <c r="M634" s="171" t="s">
        <v>938</v>
      </c>
    </row>
    <row r="635" spans="1:13" x14ac:dyDescent="0.2">
      <c r="A635" s="173"/>
      <c r="B635" s="174"/>
      <c r="C635" s="175"/>
      <c r="D635" s="176"/>
      <c r="E635" s="176"/>
      <c r="F635" s="176"/>
      <c r="G635" s="176"/>
      <c r="H635" s="176"/>
      <c r="I635" s="184" t="s">
        <v>939</v>
      </c>
      <c r="J635" s="207" t="s">
        <v>599</v>
      </c>
      <c r="K635" s="358">
        <f>100000*20%</f>
        <v>20000</v>
      </c>
      <c r="L635" s="180"/>
      <c r="M635" s="181"/>
    </row>
    <row r="636" spans="1:13" x14ac:dyDescent="0.2">
      <c r="A636" s="173"/>
      <c r="B636" s="174"/>
      <c r="C636" s="175"/>
      <c r="D636" s="176"/>
      <c r="E636" s="176"/>
      <c r="F636" s="176"/>
      <c r="G636" s="176"/>
      <c r="H636" s="176"/>
      <c r="I636" s="184" t="s">
        <v>934</v>
      </c>
      <c r="J636" s="249" t="s">
        <v>599</v>
      </c>
      <c r="K636" s="358">
        <f>100000*10%</f>
        <v>10000</v>
      </c>
      <c r="L636" s="180"/>
      <c r="M636" s="181"/>
    </row>
    <row r="637" spans="1:13" x14ac:dyDescent="0.2">
      <c r="A637" s="173"/>
      <c r="B637" s="174"/>
      <c r="C637" s="175"/>
      <c r="D637" s="176"/>
      <c r="E637" s="176"/>
      <c r="F637" s="176"/>
      <c r="G637" s="176"/>
      <c r="H637" s="176"/>
      <c r="I637" s="167" t="s">
        <v>940</v>
      </c>
      <c r="J637" s="207" t="s">
        <v>599</v>
      </c>
      <c r="K637" s="358">
        <f>100000*10%</f>
        <v>10000</v>
      </c>
      <c r="L637" s="180"/>
      <c r="M637" s="181"/>
    </row>
    <row r="638" spans="1:13" x14ac:dyDescent="0.2">
      <c r="A638" s="185"/>
      <c r="B638" s="186"/>
      <c r="C638" s="187"/>
      <c r="D638" s="188"/>
      <c r="E638" s="188"/>
      <c r="F638" s="188"/>
      <c r="G638" s="188"/>
      <c r="H638" s="188"/>
      <c r="I638" s="177"/>
      <c r="J638" s="168"/>
      <c r="K638" s="330">
        <f>SUM(K634:K637)</f>
        <v>100000</v>
      </c>
      <c r="L638" s="192"/>
      <c r="M638" s="193"/>
    </row>
    <row r="639" spans="1:13" x14ac:dyDescent="0.2">
      <c r="A639" s="163">
        <v>153</v>
      </c>
      <c r="B639" s="164" t="s">
        <v>941</v>
      </c>
      <c r="C639" s="165"/>
      <c r="D639" s="166" t="s">
        <v>163</v>
      </c>
      <c r="E639" s="166"/>
      <c r="F639" s="166"/>
      <c r="G639" s="166"/>
      <c r="H639" s="166"/>
      <c r="I639" s="261" t="s">
        <v>939</v>
      </c>
      <c r="J639" s="223" t="s">
        <v>599</v>
      </c>
      <c r="K639" s="354">
        <f>100000*20%</f>
        <v>20000</v>
      </c>
      <c r="L639" s="195" t="s">
        <v>166</v>
      </c>
      <c r="M639" s="171" t="s">
        <v>942</v>
      </c>
    </row>
    <row r="640" spans="1:13" x14ac:dyDescent="0.2">
      <c r="A640" s="173"/>
      <c r="B640" s="174"/>
      <c r="C640" s="175"/>
      <c r="D640" s="176"/>
      <c r="E640" s="176"/>
      <c r="F640" s="176"/>
      <c r="G640" s="176"/>
      <c r="H640" s="176"/>
      <c r="I640" s="184" t="s">
        <v>943</v>
      </c>
      <c r="J640" s="207" t="s">
        <v>599</v>
      </c>
      <c r="K640" s="355">
        <f>100000*20%</f>
        <v>20000</v>
      </c>
      <c r="L640" s="197"/>
      <c r="M640" s="181"/>
    </row>
    <row r="641" spans="1:13" x14ac:dyDescent="0.2">
      <c r="A641" s="173"/>
      <c r="B641" s="174"/>
      <c r="C641" s="175"/>
      <c r="D641" s="176"/>
      <c r="E641" s="176"/>
      <c r="F641" s="176"/>
      <c r="G641" s="176"/>
      <c r="H641" s="176"/>
      <c r="I641" s="184" t="s">
        <v>944</v>
      </c>
      <c r="J641" s="168" t="s">
        <v>599</v>
      </c>
      <c r="K641" s="363">
        <f>100000*10%</f>
        <v>10000</v>
      </c>
      <c r="L641" s="197"/>
      <c r="M641" s="181"/>
    </row>
    <row r="642" spans="1:13" x14ac:dyDescent="0.2">
      <c r="A642" s="173"/>
      <c r="B642" s="174"/>
      <c r="C642" s="175"/>
      <c r="D642" s="176"/>
      <c r="E642" s="176"/>
      <c r="F642" s="176"/>
      <c r="G642" s="176"/>
      <c r="H642" s="176"/>
      <c r="I642" s="276" t="s">
        <v>945</v>
      </c>
      <c r="J642" s="226" t="s">
        <v>599</v>
      </c>
      <c r="K642" s="361">
        <f>100000*10%</f>
        <v>10000</v>
      </c>
      <c r="L642" s="197"/>
      <c r="M642" s="181"/>
    </row>
    <row r="643" spans="1:13" x14ac:dyDescent="0.2">
      <c r="A643" s="173"/>
      <c r="B643" s="174"/>
      <c r="C643" s="175"/>
      <c r="D643" s="176"/>
      <c r="E643" s="176"/>
      <c r="F643" s="176"/>
      <c r="G643" s="176"/>
      <c r="H643" s="176"/>
      <c r="I643" s="167" t="s">
        <v>946</v>
      </c>
      <c r="J643" s="226" t="s">
        <v>599</v>
      </c>
      <c r="K643" s="355">
        <f>100000*10%</f>
        <v>10000</v>
      </c>
      <c r="L643" s="197"/>
      <c r="M643" s="181"/>
    </row>
    <row r="644" spans="1:13" x14ac:dyDescent="0.2">
      <c r="A644" s="173"/>
      <c r="B644" s="174"/>
      <c r="C644" s="175"/>
      <c r="D644" s="176"/>
      <c r="E644" s="176"/>
      <c r="F644" s="176"/>
      <c r="G644" s="176"/>
      <c r="H644" s="176"/>
      <c r="I644" s="184" t="s">
        <v>947</v>
      </c>
      <c r="J644" s="226" t="s">
        <v>599</v>
      </c>
      <c r="K644" s="355">
        <f>100000*30%</f>
        <v>30000</v>
      </c>
      <c r="L644" s="197"/>
      <c r="M644" s="181"/>
    </row>
    <row r="645" spans="1:13" x14ac:dyDescent="0.2">
      <c r="A645" s="185"/>
      <c r="B645" s="186"/>
      <c r="C645" s="187"/>
      <c r="D645" s="188"/>
      <c r="E645" s="188"/>
      <c r="F645" s="188"/>
      <c r="G645" s="188"/>
      <c r="H645" s="188"/>
      <c r="I645" s="202"/>
      <c r="J645" s="203"/>
      <c r="K645" s="364">
        <f>SUM(K639:K644)</f>
        <v>100000</v>
      </c>
      <c r="L645" s="205"/>
      <c r="M645" s="193"/>
    </row>
    <row r="646" spans="1:13" x14ac:dyDescent="0.2">
      <c r="A646" s="163">
        <v>154</v>
      </c>
      <c r="B646" s="164" t="s">
        <v>948</v>
      </c>
      <c r="C646" s="165"/>
      <c r="D646" s="166" t="s">
        <v>163</v>
      </c>
      <c r="E646" s="166"/>
      <c r="F646" s="166"/>
      <c r="G646" s="166"/>
      <c r="H646" s="248"/>
      <c r="I646" s="217" t="s">
        <v>949</v>
      </c>
      <c r="J646" s="223" t="s">
        <v>599</v>
      </c>
      <c r="K646" s="365">
        <f>K650*50%</f>
        <v>50000</v>
      </c>
      <c r="L646" s="195" t="s">
        <v>166</v>
      </c>
      <c r="M646" s="171" t="s">
        <v>950</v>
      </c>
    </row>
    <row r="647" spans="1:13" x14ac:dyDescent="0.2">
      <c r="A647" s="173"/>
      <c r="B647" s="174"/>
      <c r="C647" s="175"/>
      <c r="D647" s="176"/>
      <c r="E647" s="176"/>
      <c r="F647" s="176"/>
      <c r="G647" s="176"/>
      <c r="H647" s="250"/>
      <c r="I647" s="184" t="s">
        <v>951</v>
      </c>
      <c r="J647" s="207" t="s">
        <v>599</v>
      </c>
      <c r="K647" s="355">
        <f>K650*30%</f>
        <v>30000</v>
      </c>
      <c r="L647" s="197"/>
      <c r="M647" s="181"/>
    </row>
    <row r="648" spans="1:13" x14ac:dyDescent="0.2">
      <c r="A648" s="173"/>
      <c r="B648" s="174"/>
      <c r="C648" s="175"/>
      <c r="D648" s="176"/>
      <c r="E648" s="176"/>
      <c r="F648" s="176"/>
      <c r="G648" s="176"/>
      <c r="H648" s="250"/>
      <c r="I648" s="184" t="s">
        <v>952</v>
      </c>
      <c r="J648" s="207" t="s">
        <v>599</v>
      </c>
      <c r="K648" s="355">
        <f>K650*10%</f>
        <v>10000</v>
      </c>
      <c r="L648" s="197"/>
      <c r="M648" s="181"/>
    </row>
    <row r="649" spans="1:13" x14ac:dyDescent="0.2">
      <c r="A649" s="173"/>
      <c r="B649" s="174"/>
      <c r="C649" s="175"/>
      <c r="D649" s="176"/>
      <c r="E649" s="176"/>
      <c r="F649" s="176"/>
      <c r="G649" s="176"/>
      <c r="H649" s="250"/>
      <c r="I649" s="184" t="s">
        <v>953</v>
      </c>
      <c r="J649" s="207" t="s">
        <v>599</v>
      </c>
      <c r="K649" s="355">
        <f>K650*10%</f>
        <v>10000</v>
      </c>
      <c r="L649" s="197"/>
      <c r="M649" s="181"/>
    </row>
    <row r="650" spans="1:13" x14ac:dyDescent="0.2">
      <c r="A650" s="185"/>
      <c r="B650" s="186"/>
      <c r="C650" s="187"/>
      <c r="D650" s="188"/>
      <c r="E650" s="188"/>
      <c r="F650" s="188"/>
      <c r="G650" s="188"/>
      <c r="H650" s="251"/>
      <c r="I650" s="202"/>
      <c r="J650" s="203"/>
      <c r="K650" s="366">
        <v>100000</v>
      </c>
      <c r="L650" s="205"/>
      <c r="M650" s="193"/>
    </row>
    <row r="651" spans="1:13" ht="21" customHeight="1" x14ac:dyDescent="0.2">
      <c r="A651" s="163">
        <v>155</v>
      </c>
      <c r="B651" s="164" t="s">
        <v>954</v>
      </c>
      <c r="C651" s="165"/>
      <c r="D651" s="166" t="s">
        <v>163</v>
      </c>
      <c r="E651" s="166"/>
      <c r="F651" s="166"/>
      <c r="G651" s="166"/>
      <c r="H651" s="166" t="s">
        <v>108</v>
      </c>
      <c r="I651" s="367" t="s">
        <v>955</v>
      </c>
      <c r="J651" s="223" t="s">
        <v>253</v>
      </c>
      <c r="K651" s="368">
        <f>K655*40%</f>
        <v>2000</v>
      </c>
      <c r="L651" s="195" t="s">
        <v>166</v>
      </c>
      <c r="M651" s="171" t="s">
        <v>956</v>
      </c>
    </row>
    <row r="652" spans="1:13" ht="21" customHeight="1" x14ac:dyDescent="0.2">
      <c r="A652" s="173"/>
      <c r="B652" s="174"/>
      <c r="C652" s="175"/>
      <c r="D652" s="176"/>
      <c r="E652" s="176"/>
      <c r="F652" s="176"/>
      <c r="G652" s="176"/>
      <c r="H652" s="176"/>
      <c r="I652" s="369" t="s">
        <v>957</v>
      </c>
      <c r="J652" s="207" t="s">
        <v>253</v>
      </c>
      <c r="K652" s="355">
        <f>K655*20%</f>
        <v>1000</v>
      </c>
      <c r="L652" s="197"/>
      <c r="M652" s="181"/>
    </row>
    <row r="653" spans="1:13" ht="21" customHeight="1" x14ac:dyDescent="0.2">
      <c r="A653" s="173"/>
      <c r="B653" s="174"/>
      <c r="C653" s="175"/>
      <c r="D653" s="176"/>
      <c r="E653" s="176"/>
      <c r="F653" s="176"/>
      <c r="G653" s="176"/>
      <c r="H653" s="176"/>
      <c r="I653" s="369" t="s">
        <v>958</v>
      </c>
      <c r="J653" s="207" t="s">
        <v>253</v>
      </c>
      <c r="K653" s="355">
        <f>K655*20%</f>
        <v>1000</v>
      </c>
      <c r="L653" s="197"/>
      <c r="M653" s="181"/>
    </row>
    <row r="654" spans="1:13" ht="21" customHeight="1" x14ac:dyDescent="0.2">
      <c r="A654" s="173"/>
      <c r="B654" s="174"/>
      <c r="C654" s="175"/>
      <c r="D654" s="176"/>
      <c r="E654" s="176"/>
      <c r="F654" s="176"/>
      <c r="G654" s="176"/>
      <c r="H654" s="176"/>
      <c r="I654" s="369" t="s">
        <v>959</v>
      </c>
      <c r="J654" s="207" t="s">
        <v>599</v>
      </c>
      <c r="K654" s="355">
        <f>K655*20%</f>
        <v>1000</v>
      </c>
      <c r="L654" s="197"/>
      <c r="M654" s="181"/>
    </row>
    <row r="655" spans="1:13" ht="21" customHeight="1" x14ac:dyDescent="0.2">
      <c r="A655" s="185"/>
      <c r="B655" s="186"/>
      <c r="C655" s="187"/>
      <c r="D655" s="188"/>
      <c r="E655" s="188"/>
      <c r="F655" s="188"/>
      <c r="G655" s="188"/>
      <c r="H655" s="188"/>
      <c r="I655" s="370"/>
      <c r="J655" s="203"/>
      <c r="K655" s="361">
        <v>5000</v>
      </c>
      <c r="L655" s="205"/>
      <c r="M655" s="193"/>
    </row>
    <row r="656" spans="1:13" x14ac:dyDescent="0.2">
      <c r="A656" s="163">
        <v>156</v>
      </c>
      <c r="B656" s="164" t="s">
        <v>960</v>
      </c>
      <c r="C656" s="165"/>
      <c r="D656" s="166" t="s">
        <v>163</v>
      </c>
      <c r="E656" s="166"/>
      <c r="F656" s="166"/>
      <c r="G656" s="166"/>
      <c r="H656" s="248" t="s">
        <v>108</v>
      </c>
      <c r="I656" s="217" t="s">
        <v>961</v>
      </c>
      <c r="J656" s="223" t="s">
        <v>599</v>
      </c>
      <c r="K656" s="365">
        <f>K660*70%</f>
        <v>70308</v>
      </c>
      <c r="L656" s="195" t="s">
        <v>166</v>
      </c>
      <c r="M656" s="171" t="s">
        <v>962</v>
      </c>
    </row>
    <row r="657" spans="1:13" ht="22.5" customHeight="1" x14ac:dyDescent="0.2">
      <c r="A657" s="173"/>
      <c r="B657" s="174"/>
      <c r="C657" s="175"/>
      <c r="D657" s="176"/>
      <c r="E657" s="176"/>
      <c r="F657" s="176"/>
      <c r="G657" s="176"/>
      <c r="H657" s="250"/>
      <c r="I657" s="184" t="s">
        <v>963</v>
      </c>
      <c r="J657" s="207" t="s">
        <v>253</v>
      </c>
      <c r="K657" s="355">
        <f>K660*10%</f>
        <v>10044</v>
      </c>
      <c r="L657" s="197"/>
      <c r="M657" s="181"/>
    </row>
    <row r="658" spans="1:13" ht="23.25" customHeight="1" x14ac:dyDescent="0.2">
      <c r="A658" s="173"/>
      <c r="B658" s="174"/>
      <c r="C658" s="175"/>
      <c r="D658" s="176"/>
      <c r="E658" s="176"/>
      <c r="F658" s="176"/>
      <c r="G658" s="176"/>
      <c r="H658" s="250"/>
      <c r="I658" s="184" t="s">
        <v>964</v>
      </c>
      <c r="J658" s="207" t="s">
        <v>253</v>
      </c>
      <c r="K658" s="355">
        <f>K660*10%</f>
        <v>10044</v>
      </c>
      <c r="L658" s="197"/>
      <c r="M658" s="181"/>
    </row>
    <row r="659" spans="1:13" x14ac:dyDescent="0.2">
      <c r="A659" s="173"/>
      <c r="B659" s="174"/>
      <c r="C659" s="175"/>
      <c r="D659" s="176"/>
      <c r="E659" s="176"/>
      <c r="F659" s="176"/>
      <c r="G659" s="176"/>
      <c r="H659" s="250"/>
      <c r="I659" s="184" t="s">
        <v>843</v>
      </c>
      <c r="J659" s="207" t="s">
        <v>599</v>
      </c>
      <c r="K659" s="355">
        <f>K660*10%</f>
        <v>10044</v>
      </c>
      <c r="L659" s="197"/>
      <c r="M659" s="181"/>
    </row>
    <row r="660" spans="1:13" x14ac:dyDescent="0.2">
      <c r="A660" s="185"/>
      <c r="B660" s="186"/>
      <c r="C660" s="187"/>
      <c r="D660" s="188"/>
      <c r="E660" s="188"/>
      <c r="F660" s="188"/>
      <c r="G660" s="188"/>
      <c r="H660" s="251"/>
      <c r="I660" s="202"/>
      <c r="J660" s="203"/>
      <c r="K660" s="366">
        <v>100440</v>
      </c>
      <c r="L660" s="205"/>
      <c r="M660" s="193"/>
    </row>
    <row r="661" spans="1:13" ht="22.5" customHeight="1" x14ac:dyDescent="0.2">
      <c r="A661" s="163">
        <v>157</v>
      </c>
      <c r="B661" s="164" t="s">
        <v>965</v>
      </c>
      <c r="C661" s="165"/>
      <c r="D661" s="166" t="s">
        <v>163</v>
      </c>
      <c r="E661" s="166"/>
      <c r="F661" s="166"/>
      <c r="G661" s="166"/>
      <c r="H661" s="166" t="s">
        <v>164</v>
      </c>
      <c r="I661" s="371" t="s">
        <v>966</v>
      </c>
      <c r="J661" s="249" t="s">
        <v>253</v>
      </c>
      <c r="K661" s="368">
        <f>K663*90%</f>
        <v>45832.5</v>
      </c>
      <c r="L661" s="195" t="s">
        <v>166</v>
      </c>
      <c r="M661" s="171" t="s">
        <v>967</v>
      </c>
    </row>
    <row r="662" spans="1:13" x14ac:dyDescent="0.2">
      <c r="A662" s="173"/>
      <c r="B662" s="174"/>
      <c r="C662" s="175"/>
      <c r="D662" s="176"/>
      <c r="E662" s="176"/>
      <c r="F662" s="176"/>
      <c r="G662" s="176"/>
      <c r="H662" s="176"/>
      <c r="I662" s="369" t="s">
        <v>968</v>
      </c>
      <c r="J662" s="207" t="s">
        <v>599</v>
      </c>
      <c r="K662" s="355">
        <f>K663*10%</f>
        <v>5092.5</v>
      </c>
      <c r="L662" s="197"/>
      <c r="M662" s="181"/>
    </row>
    <row r="663" spans="1:13" x14ac:dyDescent="0.2">
      <c r="A663" s="185"/>
      <c r="B663" s="186"/>
      <c r="C663" s="187"/>
      <c r="D663" s="188"/>
      <c r="E663" s="188"/>
      <c r="F663" s="188"/>
      <c r="G663" s="188"/>
      <c r="H663" s="188"/>
      <c r="I663" s="372"/>
      <c r="J663" s="226"/>
      <c r="K663" s="361">
        <v>50925</v>
      </c>
      <c r="L663" s="205"/>
      <c r="M663" s="193"/>
    </row>
    <row r="664" spans="1:13" ht="21" customHeight="1" x14ac:dyDescent="0.2">
      <c r="A664" s="163">
        <v>158</v>
      </c>
      <c r="B664" s="164" t="s">
        <v>969</v>
      </c>
      <c r="C664" s="165"/>
      <c r="D664" s="166" t="s">
        <v>163</v>
      </c>
      <c r="E664" s="166"/>
      <c r="F664" s="166"/>
      <c r="G664" s="166"/>
      <c r="H664" s="166" t="s">
        <v>137</v>
      </c>
      <c r="I664" s="367" t="s">
        <v>970</v>
      </c>
      <c r="J664" s="223" t="s">
        <v>253</v>
      </c>
      <c r="K664" s="365">
        <f>K667*70%</f>
        <v>66514</v>
      </c>
      <c r="L664" s="195" t="s">
        <v>166</v>
      </c>
      <c r="M664" s="171" t="s">
        <v>971</v>
      </c>
    </row>
    <row r="665" spans="1:13" ht="24" customHeight="1" x14ac:dyDescent="0.2">
      <c r="A665" s="173"/>
      <c r="B665" s="174"/>
      <c r="C665" s="175"/>
      <c r="D665" s="176"/>
      <c r="E665" s="176"/>
      <c r="F665" s="176"/>
      <c r="G665" s="176"/>
      <c r="H665" s="176"/>
      <c r="I665" s="369" t="s">
        <v>972</v>
      </c>
      <c r="J665" s="207" t="s">
        <v>253</v>
      </c>
      <c r="K665" s="355">
        <f>K667*20%</f>
        <v>19004</v>
      </c>
      <c r="L665" s="197"/>
      <c r="M665" s="181"/>
    </row>
    <row r="666" spans="1:13" x14ac:dyDescent="0.2">
      <c r="A666" s="173"/>
      <c r="B666" s="174"/>
      <c r="C666" s="175"/>
      <c r="D666" s="176"/>
      <c r="E666" s="176"/>
      <c r="F666" s="176"/>
      <c r="G666" s="176"/>
      <c r="H666" s="176"/>
      <c r="I666" s="369" t="s">
        <v>973</v>
      </c>
      <c r="J666" s="207" t="s">
        <v>599</v>
      </c>
      <c r="K666" s="355">
        <f>K667*10%</f>
        <v>9502</v>
      </c>
      <c r="L666" s="197"/>
      <c r="M666" s="181"/>
    </row>
    <row r="667" spans="1:13" x14ac:dyDescent="0.2">
      <c r="A667" s="185"/>
      <c r="B667" s="186"/>
      <c r="C667" s="187"/>
      <c r="D667" s="188"/>
      <c r="E667" s="188"/>
      <c r="F667" s="188"/>
      <c r="G667" s="188"/>
      <c r="H667" s="188"/>
      <c r="I667" s="370"/>
      <c r="J667" s="203"/>
      <c r="K667" s="366">
        <v>95020</v>
      </c>
      <c r="L667" s="205"/>
      <c r="M667" s="193"/>
    </row>
    <row r="668" spans="1:13" ht="23.25" customHeight="1" x14ac:dyDescent="0.2">
      <c r="A668" s="163">
        <v>159</v>
      </c>
      <c r="B668" s="164" t="s">
        <v>974</v>
      </c>
      <c r="C668" s="165"/>
      <c r="D668" s="166" t="s">
        <v>163</v>
      </c>
      <c r="E668" s="166"/>
      <c r="F668" s="166"/>
      <c r="G668" s="166"/>
      <c r="H668" s="166" t="s">
        <v>164</v>
      </c>
      <c r="I668" s="371" t="s">
        <v>975</v>
      </c>
      <c r="J668" s="249" t="s">
        <v>253</v>
      </c>
      <c r="K668" s="373">
        <f>K670*95%</f>
        <v>105621</v>
      </c>
      <c r="L668" s="195" t="s">
        <v>166</v>
      </c>
      <c r="M668" s="171" t="s">
        <v>976</v>
      </c>
    </row>
    <row r="669" spans="1:13" x14ac:dyDescent="0.2">
      <c r="A669" s="173"/>
      <c r="B669" s="174"/>
      <c r="C669" s="175"/>
      <c r="D669" s="176"/>
      <c r="E669" s="176"/>
      <c r="F669" s="176"/>
      <c r="G669" s="176"/>
      <c r="H669" s="176"/>
      <c r="I669" s="369" t="s">
        <v>977</v>
      </c>
      <c r="J669" s="207" t="s">
        <v>599</v>
      </c>
      <c r="K669" s="355">
        <f>K670*5%</f>
        <v>5559</v>
      </c>
      <c r="L669" s="197"/>
      <c r="M669" s="181"/>
    </row>
    <row r="670" spans="1:13" x14ac:dyDescent="0.2">
      <c r="A670" s="185"/>
      <c r="B670" s="186"/>
      <c r="C670" s="187"/>
      <c r="D670" s="188"/>
      <c r="E670" s="188"/>
      <c r="F670" s="188"/>
      <c r="G670" s="188"/>
      <c r="H670" s="188"/>
      <c r="I670" s="372"/>
      <c r="J670" s="226"/>
      <c r="K670" s="361">
        <v>111180</v>
      </c>
      <c r="L670" s="205"/>
      <c r="M670" s="193"/>
    </row>
    <row r="671" spans="1:13" ht="24" customHeight="1" x14ac:dyDescent="0.2">
      <c r="A671" s="163">
        <v>160</v>
      </c>
      <c r="B671" s="164" t="s">
        <v>978</v>
      </c>
      <c r="C671" s="165"/>
      <c r="D671" s="166" t="s">
        <v>163</v>
      </c>
      <c r="E671" s="166"/>
      <c r="F671" s="166"/>
      <c r="G671" s="166"/>
      <c r="H671" s="166" t="s">
        <v>164</v>
      </c>
      <c r="I671" s="367" t="s">
        <v>979</v>
      </c>
      <c r="J671" s="223" t="s">
        <v>253</v>
      </c>
      <c r="K671" s="365">
        <f>K673*95%</f>
        <v>80631.25</v>
      </c>
      <c r="L671" s="195" t="s">
        <v>166</v>
      </c>
      <c r="M671" s="171" t="s">
        <v>980</v>
      </c>
    </row>
    <row r="672" spans="1:13" x14ac:dyDescent="0.2">
      <c r="A672" s="173"/>
      <c r="B672" s="174"/>
      <c r="C672" s="175"/>
      <c r="D672" s="176"/>
      <c r="E672" s="176"/>
      <c r="F672" s="176"/>
      <c r="G672" s="176"/>
      <c r="H672" s="176"/>
      <c r="I672" s="369" t="s">
        <v>981</v>
      </c>
      <c r="J672" s="207" t="s">
        <v>599</v>
      </c>
      <c r="K672" s="355">
        <f>K673*5%</f>
        <v>4243.75</v>
      </c>
      <c r="L672" s="197"/>
      <c r="M672" s="181"/>
    </row>
    <row r="673" spans="1:14" x14ac:dyDescent="0.2">
      <c r="A673" s="185"/>
      <c r="B673" s="186"/>
      <c r="C673" s="187"/>
      <c r="D673" s="188"/>
      <c r="E673" s="188"/>
      <c r="F673" s="188"/>
      <c r="G673" s="188"/>
      <c r="H673" s="188"/>
      <c r="I673" s="370"/>
      <c r="J673" s="203"/>
      <c r="K673" s="366">
        <v>84875</v>
      </c>
      <c r="L673" s="205"/>
      <c r="M673" s="193"/>
    </row>
    <row r="674" spans="1:14" ht="25.5" customHeight="1" x14ac:dyDescent="0.2">
      <c r="A674" s="163">
        <v>161</v>
      </c>
      <c r="B674" s="164" t="s">
        <v>982</v>
      </c>
      <c r="C674" s="165"/>
      <c r="D674" s="166" t="s">
        <v>163</v>
      </c>
      <c r="E674" s="166"/>
      <c r="F674" s="166"/>
      <c r="G674" s="166"/>
      <c r="H674" s="166" t="s">
        <v>983</v>
      </c>
      <c r="I674" s="371" t="s">
        <v>984</v>
      </c>
      <c r="J674" s="249" t="s">
        <v>253</v>
      </c>
      <c r="K674" s="368">
        <f>K679*30%</f>
        <v>2316</v>
      </c>
      <c r="L674" s="195" t="s">
        <v>166</v>
      </c>
      <c r="M674" s="171" t="s">
        <v>985</v>
      </c>
    </row>
    <row r="675" spans="1:14" ht="20.25" customHeight="1" x14ac:dyDescent="0.2">
      <c r="A675" s="173"/>
      <c r="B675" s="174"/>
      <c r="C675" s="175"/>
      <c r="D675" s="176"/>
      <c r="E675" s="176"/>
      <c r="F675" s="176"/>
      <c r="G675" s="176"/>
      <c r="H675" s="176"/>
      <c r="I675" s="369" t="s">
        <v>986</v>
      </c>
      <c r="J675" s="207" t="s">
        <v>253</v>
      </c>
      <c r="K675" s="355">
        <f>K679*25%</f>
        <v>1930</v>
      </c>
      <c r="L675" s="197"/>
      <c r="M675" s="181"/>
    </row>
    <row r="676" spans="1:14" ht="25.5" customHeight="1" x14ac:dyDescent="0.2">
      <c r="A676" s="173"/>
      <c r="B676" s="174"/>
      <c r="C676" s="175"/>
      <c r="D676" s="176"/>
      <c r="E676" s="176"/>
      <c r="F676" s="176"/>
      <c r="G676" s="176"/>
      <c r="H676" s="176"/>
      <c r="I676" s="369" t="s">
        <v>987</v>
      </c>
      <c r="J676" s="207" t="s">
        <v>253</v>
      </c>
      <c r="K676" s="355">
        <f>K679*10%</f>
        <v>772</v>
      </c>
      <c r="L676" s="197"/>
      <c r="M676" s="181"/>
    </row>
    <row r="677" spans="1:14" ht="24.75" customHeight="1" x14ac:dyDescent="0.2">
      <c r="A677" s="173"/>
      <c r="B677" s="174"/>
      <c r="C677" s="175"/>
      <c r="D677" s="176"/>
      <c r="E677" s="176"/>
      <c r="F677" s="176"/>
      <c r="G677" s="176"/>
      <c r="H677" s="176"/>
      <c r="I677" s="369" t="s">
        <v>988</v>
      </c>
      <c r="J677" s="207" t="s">
        <v>253</v>
      </c>
      <c r="K677" s="355">
        <f>K679*10%</f>
        <v>772</v>
      </c>
      <c r="L677" s="197"/>
      <c r="M677" s="181"/>
    </row>
    <row r="678" spans="1:14" ht="25.5" customHeight="1" x14ac:dyDescent="0.2">
      <c r="A678" s="173"/>
      <c r="B678" s="174"/>
      <c r="C678" s="175"/>
      <c r="D678" s="176"/>
      <c r="E678" s="176"/>
      <c r="F678" s="176"/>
      <c r="G678" s="176"/>
      <c r="H678" s="176"/>
      <c r="I678" s="369" t="s">
        <v>989</v>
      </c>
      <c r="J678" s="207" t="s">
        <v>599</v>
      </c>
      <c r="K678" s="355">
        <f>K679*25%</f>
        <v>1930</v>
      </c>
      <c r="L678" s="197"/>
      <c r="M678" s="181"/>
    </row>
    <row r="679" spans="1:14" ht="25.5" customHeight="1" x14ac:dyDescent="0.2">
      <c r="A679" s="185"/>
      <c r="B679" s="186"/>
      <c r="C679" s="187"/>
      <c r="D679" s="188"/>
      <c r="E679" s="188"/>
      <c r="F679" s="188"/>
      <c r="G679" s="188"/>
      <c r="H679" s="188"/>
      <c r="I679" s="372"/>
      <c r="J679" s="226"/>
      <c r="K679" s="361">
        <v>7720</v>
      </c>
      <c r="L679" s="205"/>
      <c r="M679" s="193"/>
    </row>
    <row r="680" spans="1:14" ht="22.5" customHeight="1" x14ac:dyDescent="0.2">
      <c r="A680" s="163">
        <v>162</v>
      </c>
      <c r="B680" s="164" t="s">
        <v>990</v>
      </c>
      <c r="C680" s="165"/>
      <c r="D680" s="166" t="s">
        <v>163</v>
      </c>
      <c r="E680" s="166"/>
      <c r="F680" s="166"/>
      <c r="G680" s="166"/>
      <c r="H680" s="248" t="s">
        <v>137</v>
      </c>
      <c r="I680" s="217" t="s">
        <v>991</v>
      </c>
      <c r="J680" s="223" t="s">
        <v>253</v>
      </c>
      <c r="K680" s="365">
        <f>K683*50%</f>
        <v>75000</v>
      </c>
      <c r="L680" s="195" t="s">
        <v>166</v>
      </c>
      <c r="M680" s="171" t="s">
        <v>992</v>
      </c>
    </row>
    <row r="681" spans="1:14" ht="24" customHeight="1" x14ac:dyDescent="0.2">
      <c r="A681" s="173"/>
      <c r="B681" s="174"/>
      <c r="C681" s="175"/>
      <c r="D681" s="176"/>
      <c r="E681" s="176"/>
      <c r="F681" s="176"/>
      <c r="G681" s="176"/>
      <c r="H681" s="250"/>
      <c r="I681" s="184" t="s">
        <v>993</v>
      </c>
      <c r="J681" s="207" t="s">
        <v>253</v>
      </c>
      <c r="K681" s="355">
        <f>K683*15%</f>
        <v>22500</v>
      </c>
      <c r="L681" s="197"/>
      <c r="M681" s="181"/>
    </row>
    <row r="682" spans="1:14" ht="24" customHeight="1" x14ac:dyDescent="0.2">
      <c r="A682" s="173"/>
      <c r="B682" s="174"/>
      <c r="C682" s="175"/>
      <c r="D682" s="176"/>
      <c r="E682" s="176"/>
      <c r="F682" s="176"/>
      <c r="G682" s="176"/>
      <c r="H682" s="250"/>
      <c r="I682" s="184" t="s">
        <v>994</v>
      </c>
      <c r="J682" s="207" t="s">
        <v>599</v>
      </c>
      <c r="K682" s="355">
        <f>K683*35%</f>
        <v>52500</v>
      </c>
      <c r="L682" s="197"/>
      <c r="M682" s="181"/>
    </row>
    <row r="683" spans="1:14" ht="27" customHeight="1" x14ac:dyDescent="0.2">
      <c r="A683" s="185"/>
      <c r="B683" s="186"/>
      <c r="C683" s="187"/>
      <c r="D683" s="188"/>
      <c r="E683" s="188"/>
      <c r="F683" s="188"/>
      <c r="G683" s="188"/>
      <c r="H683" s="251"/>
      <c r="I683" s="202"/>
      <c r="J683" s="203"/>
      <c r="K683" s="366">
        <v>150000</v>
      </c>
      <c r="L683" s="205"/>
      <c r="M683" s="193"/>
    </row>
    <row r="684" spans="1:14" ht="23.25" customHeight="1" x14ac:dyDescent="0.2">
      <c r="A684" s="163">
        <v>163</v>
      </c>
      <c r="B684" s="164" t="s">
        <v>995</v>
      </c>
      <c r="C684" s="165"/>
      <c r="D684" s="166" t="s">
        <v>163</v>
      </c>
      <c r="E684" s="166"/>
      <c r="F684" s="166"/>
      <c r="G684" s="166"/>
      <c r="H684" s="248" t="s">
        <v>983</v>
      </c>
      <c r="I684" s="217" t="s">
        <v>996</v>
      </c>
      <c r="J684" s="249" t="s">
        <v>253</v>
      </c>
      <c r="K684" s="368">
        <f>K689*70%</f>
        <v>182000</v>
      </c>
      <c r="L684" s="195" t="s">
        <v>166</v>
      </c>
      <c r="M684" s="171" t="s">
        <v>997</v>
      </c>
    </row>
    <row r="685" spans="1:14" ht="23.25" customHeight="1" x14ac:dyDescent="0.2">
      <c r="A685" s="173"/>
      <c r="B685" s="174"/>
      <c r="C685" s="175"/>
      <c r="D685" s="176"/>
      <c r="E685" s="176"/>
      <c r="F685" s="176"/>
      <c r="G685" s="176"/>
      <c r="H685" s="250"/>
      <c r="I685" s="184" t="s">
        <v>998</v>
      </c>
      <c r="J685" s="207" t="s">
        <v>999</v>
      </c>
      <c r="K685" s="355">
        <f>K689*10%</f>
        <v>26000</v>
      </c>
      <c r="L685" s="197"/>
      <c r="M685" s="181"/>
    </row>
    <row r="686" spans="1:14" ht="22.5" customHeight="1" x14ac:dyDescent="0.2">
      <c r="A686" s="173"/>
      <c r="B686" s="174"/>
      <c r="C686" s="175"/>
      <c r="D686" s="176"/>
      <c r="E686" s="176"/>
      <c r="F686" s="176"/>
      <c r="G686" s="176"/>
      <c r="H686" s="250"/>
      <c r="I686" s="184" t="s">
        <v>1000</v>
      </c>
      <c r="J686" s="207" t="s">
        <v>999</v>
      </c>
      <c r="K686" s="355">
        <f>K689*10%</f>
        <v>26000</v>
      </c>
      <c r="L686" s="197"/>
      <c r="M686" s="181"/>
    </row>
    <row r="687" spans="1:14" ht="21" customHeight="1" x14ac:dyDescent="0.2">
      <c r="A687" s="173"/>
      <c r="B687" s="174"/>
      <c r="C687" s="175"/>
      <c r="D687" s="176"/>
      <c r="E687" s="176"/>
      <c r="F687" s="176"/>
      <c r="G687" s="176"/>
      <c r="H687" s="250"/>
      <c r="I687" s="184" t="s">
        <v>1001</v>
      </c>
      <c r="J687" s="207" t="s">
        <v>1002</v>
      </c>
      <c r="K687" s="355">
        <f>K689*5%</f>
        <v>13000</v>
      </c>
      <c r="L687" s="197"/>
      <c r="M687" s="181"/>
    </row>
    <row r="688" spans="1:14" ht="23.25" customHeight="1" x14ac:dyDescent="0.2">
      <c r="A688" s="173"/>
      <c r="B688" s="174"/>
      <c r="C688" s="175"/>
      <c r="D688" s="176"/>
      <c r="E688" s="176"/>
      <c r="F688" s="176"/>
      <c r="G688" s="176"/>
      <c r="H688" s="250"/>
      <c r="I688" s="184" t="s">
        <v>713</v>
      </c>
      <c r="J688" s="207" t="s">
        <v>681</v>
      </c>
      <c r="K688" s="355">
        <f>K689*5%</f>
        <v>13000</v>
      </c>
      <c r="L688" s="197"/>
      <c r="M688" s="181"/>
      <c r="N688" s="172"/>
    </row>
    <row r="689" spans="1:14" ht="27" customHeight="1" x14ac:dyDescent="0.2">
      <c r="A689" s="185"/>
      <c r="B689" s="186"/>
      <c r="C689" s="187"/>
      <c r="D689" s="188"/>
      <c r="E689" s="188"/>
      <c r="F689" s="188"/>
      <c r="G689" s="188"/>
      <c r="H689" s="188"/>
      <c r="I689" s="167"/>
      <c r="J689" s="168"/>
      <c r="K689" s="363">
        <v>260000</v>
      </c>
      <c r="L689" s="205"/>
      <c r="M689" s="193"/>
    </row>
    <row r="690" spans="1:14" ht="23.25" customHeight="1" x14ac:dyDescent="0.2">
      <c r="A690" s="163">
        <v>164</v>
      </c>
      <c r="B690" s="164" t="s">
        <v>1003</v>
      </c>
      <c r="C690" s="165"/>
      <c r="D690" s="166" t="s">
        <v>163</v>
      </c>
      <c r="E690" s="166"/>
      <c r="F690" s="166"/>
      <c r="G690" s="166"/>
      <c r="H690" s="248" t="s">
        <v>1004</v>
      </c>
      <c r="I690" s="217" t="s">
        <v>1005</v>
      </c>
      <c r="J690" s="223" t="s">
        <v>179</v>
      </c>
      <c r="K690" s="365">
        <f>K701*30%</f>
        <v>45000</v>
      </c>
      <c r="L690" s="195" t="s">
        <v>166</v>
      </c>
      <c r="M690" s="171" t="s">
        <v>1006</v>
      </c>
    </row>
    <row r="691" spans="1:14" ht="22.5" customHeight="1" x14ac:dyDescent="0.2">
      <c r="A691" s="173"/>
      <c r="B691" s="174"/>
      <c r="C691" s="175"/>
      <c r="D691" s="176"/>
      <c r="E691" s="176"/>
      <c r="F691" s="176"/>
      <c r="G691" s="176"/>
      <c r="H691" s="250"/>
      <c r="I691" s="184" t="s">
        <v>1007</v>
      </c>
      <c r="J691" s="207" t="s">
        <v>1008</v>
      </c>
      <c r="K691" s="355">
        <f>K701*10%</f>
        <v>15000</v>
      </c>
      <c r="L691" s="197"/>
      <c r="M691" s="181"/>
      <c r="N691" s="172"/>
    </row>
    <row r="692" spans="1:14" ht="24" customHeight="1" x14ac:dyDescent="0.2">
      <c r="A692" s="173"/>
      <c r="B692" s="174"/>
      <c r="C692" s="175"/>
      <c r="D692" s="176"/>
      <c r="E692" s="176"/>
      <c r="F692" s="176"/>
      <c r="G692" s="176"/>
      <c r="H692" s="250"/>
      <c r="I692" s="184" t="s">
        <v>1009</v>
      </c>
      <c r="J692" s="207" t="s">
        <v>179</v>
      </c>
      <c r="K692" s="355">
        <f>K701*10%</f>
        <v>15000</v>
      </c>
      <c r="L692" s="197"/>
      <c r="M692" s="181"/>
    </row>
    <row r="693" spans="1:14" ht="21.75" customHeight="1" x14ac:dyDescent="0.2">
      <c r="A693" s="173"/>
      <c r="B693" s="174"/>
      <c r="C693" s="175"/>
      <c r="D693" s="176"/>
      <c r="E693" s="176"/>
      <c r="F693" s="176"/>
      <c r="G693" s="176"/>
      <c r="H693" s="250"/>
      <c r="I693" s="184" t="s">
        <v>1010</v>
      </c>
      <c r="J693" s="207" t="s">
        <v>179</v>
      </c>
      <c r="K693" s="355">
        <f>K701*10%</f>
        <v>15000</v>
      </c>
      <c r="L693" s="197"/>
      <c r="M693" s="181"/>
    </row>
    <row r="694" spans="1:14" ht="21.75" customHeight="1" x14ac:dyDescent="0.2">
      <c r="A694" s="173"/>
      <c r="B694" s="174"/>
      <c r="C694" s="175"/>
      <c r="D694" s="176"/>
      <c r="E694" s="176"/>
      <c r="F694" s="176"/>
      <c r="G694" s="176"/>
      <c r="H694" s="250"/>
      <c r="I694" s="184" t="s">
        <v>1011</v>
      </c>
      <c r="J694" s="207" t="s">
        <v>179</v>
      </c>
      <c r="K694" s="355">
        <f>K701*10%</f>
        <v>15000</v>
      </c>
      <c r="L694" s="197"/>
      <c r="M694" s="181"/>
    </row>
    <row r="695" spans="1:14" ht="21.75" customHeight="1" x14ac:dyDescent="0.2">
      <c r="A695" s="173"/>
      <c r="B695" s="174"/>
      <c r="C695" s="175"/>
      <c r="D695" s="176"/>
      <c r="E695" s="176"/>
      <c r="F695" s="176"/>
      <c r="G695" s="176"/>
      <c r="H695" s="250"/>
      <c r="I695" s="184" t="s">
        <v>1012</v>
      </c>
      <c r="J695" s="207" t="s">
        <v>186</v>
      </c>
      <c r="K695" s="355">
        <f>K701*5%</f>
        <v>7500</v>
      </c>
      <c r="L695" s="197"/>
      <c r="M695" s="181"/>
      <c r="N695" s="172"/>
    </row>
    <row r="696" spans="1:14" ht="21.75" customHeight="1" x14ac:dyDescent="0.2">
      <c r="A696" s="173"/>
      <c r="B696" s="174"/>
      <c r="C696" s="175"/>
      <c r="D696" s="176"/>
      <c r="E696" s="176"/>
      <c r="F696" s="176"/>
      <c r="G696" s="176"/>
      <c r="H696" s="250"/>
      <c r="I696" s="184" t="s">
        <v>1013</v>
      </c>
      <c r="J696" s="207" t="s">
        <v>176</v>
      </c>
      <c r="K696" s="355">
        <f>K701*5%</f>
        <v>7500</v>
      </c>
      <c r="L696" s="197"/>
      <c r="M696" s="181"/>
    </row>
    <row r="697" spans="1:14" ht="21.75" customHeight="1" x14ac:dyDescent="0.2">
      <c r="A697" s="173"/>
      <c r="B697" s="174"/>
      <c r="C697" s="175"/>
      <c r="D697" s="176"/>
      <c r="E697" s="176"/>
      <c r="F697" s="176"/>
      <c r="G697" s="176"/>
      <c r="H697" s="250"/>
      <c r="I697" s="184" t="s">
        <v>1014</v>
      </c>
      <c r="J697" s="207" t="s">
        <v>1015</v>
      </c>
      <c r="K697" s="355">
        <f>K701*5%</f>
        <v>7500</v>
      </c>
      <c r="L697" s="197"/>
      <c r="M697" s="181"/>
      <c r="N697" s="172"/>
    </row>
    <row r="698" spans="1:14" ht="21.75" customHeight="1" x14ac:dyDescent="0.2">
      <c r="A698" s="173"/>
      <c r="B698" s="174"/>
      <c r="C698" s="175"/>
      <c r="D698" s="176"/>
      <c r="E698" s="176"/>
      <c r="F698" s="176"/>
      <c r="G698" s="176"/>
      <c r="H698" s="250"/>
      <c r="I698" s="184" t="s">
        <v>1016</v>
      </c>
      <c r="J698" s="207" t="s">
        <v>681</v>
      </c>
      <c r="K698" s="355">
        <f>K701*5%</f>
        <v>7500</v>
      </c>
      <c r="L698" s="197"/>
      <c r="M698" s="181"/>
    </row>
    <row r="699" spans="1:14" ht="21.75" customHeight="1" x14ac:dyDescent="0.2">
      <c r="A699" s="173"/>
      <c r="B699" s="174"/>
      <c r="C699" s="175"/>
      <c r="D699" s="176"/>
      <c r="E699" s="176"/>
      <c r="F699" s="176"/>
      <c r="G699" s="176"/>
      <c r="H699" s="250"/>
      <c r="I699" s="184" t="s">
        <v>1017</v>
      </c>
      <c r="J699" s="207" t="s">
        <v>1018</v>
      </c>
      <c r="K699" s="355">
        <f>K701*5%</f>
        <v>7500</v>
      </c>
      <c r="L699" s="197"/>
      <c r="M699" s="181"/>
      <c r="N699" s="172"/>
    </row>
    <row r="700" spans="1:14" ht="21.75" customHeight="1" x14ac:dyDescent="0.2">
      <c r="A700" s="173"/>
      <c r="B700" s="174"/>
      <c r="C700" s="175"/>
      <c r="D700" s="176"/>
      <c r="E700" s="176"/>
      <c r="F700" s="176"/>
      <c r="G700" s="176"/>
      <c r="H700" s="250"/>
      <c r="I700" s="184" t="s">
        <v>1019</v>
      </c>
      <c r="J700" s="207" t="s">
        <v>1020</v>
      </c>
      <c r="K700" s="355">
        <f>K701*5%</f>
        <v>7500</v>
      </c>
      <c r="L700" s="197"/>
      <c r="M700" s="181"/>
    </row>
    <row r="701" spans="1:14" ht="27" customHeight="1" x14ac:dyDescent="0.2">
      <c r="A701" s="173"/>
      <c r="B701" s="186"/>
      <c r="C701" s="187"/>
      <c r="D701" s="176"/>
      <c r="E701" s="176"/>
      <c r="F701" s="176"/>
      <c r="G701" s="176"/>
      <c r="H701" s="251"/>
      <c r="I701" s="202"/>
      <c r="J701" s="203"/>
      <c r="K701" s="366">
        <v>150000</v>
      </c>
      <c r="L701" s="205"/>
      <c r="M701" s="193"/>
    </row>
    <row r="702" spans="1:14" x14ac:dyDescent="0.2">
      <c r="A702" s="166">
        <v>165</v>
      </c>
      <c r="B702" s="164" t="s">
        <v>1021</v>
      </c>
      <c r="C702" s="165"/>
      <c r="D702" s="166" t="s">
        <v>25</v>
      </c>
      <c r="E702" s="166"/>
      <c r="F702" s="166"/>
      <c r="G702" s="166"/>
      <c r="H702" s="166" t="s">
        <v>769</v>
      </c>
      <c r="I702" s="374" t="s">
        <v>1022</v>
      </c>
      <c r="J702" s="353" t="s">
        <v>662</v>
      </c>
      <c r="K702" s="375">
        <v>7972400</v>
      </c>
      <c r="L702" s="171" t="s">
        <v>1023</v>
      </c>
      <c r="M702" s="171" t="s">
        <v>1024</v>
      </c>
    </row>
    <row r="703" spans="1:14" x14ac:dyDescent="0.2">
      <c r="A703" s="176"/>
      <c r="B703" s="174"/>
      <c r="C703" s="175"/>
      <c r="D703" s="176"/>
      <c r="E703" s="176"/>
      <c r="F703" s="176"/>
      <c r="G703" s="176"/>
      <c r="H703" s="176"/>
      <c r="I703" s="341" t="s">
        <v>1025</v>
      </c>
      <c r="J703" s="376" t="s">
        <v>662</v>
      </c>
      <c r="K703" s="196">
        <v>1594480</v>
      </c>
      <c r="L703" s="181"/>
      <c r="M703" s="181"/>
    </row>
    <row r="704" spans="1:14" x14ac:dyDescent="0.2">
      <c r="A704" s="176"/>
      <c r="B704" s="174"/>
      <c r="C704" s="175"/>
      <c r="D704" s="176"/>
      <c r="E704" s="176"/>
      <c r="F704" s="176"/>
      <c r="G704" s="176"/>
      <c r="H704" s="176"/>
      <c r="I704" s="341" t="s">
        <v>1026</v>
      </c>
      <c r="J704" s="168" t="s">
        <v>662</v>
      </c>
      <c r="K704" s="196">
        <v>1594480</v>
      </c>
      <c r="L704" s="181"/>
      <c r="M704" s="181"/>
    </row>
    <row r="705" spans="1:13" x14ac:dyDescent="0.2">
      <c r="A705" s="176"/>
      <c r="B705" s="174"/>
      <c r="C705" s="175"/>
      <c r="D705" s="176"/>
      <c r="E705" s="176"/>
      <c r="F705" s="176"/>
      <c r="G705" s="176"/>
      <c r="H705" s="176"/>
      <c r="I705" s="340" t="s">
        <v>1027</v>
      </c>
      <c r="J705" s="226" t="s">
        <v>196</v>
      </c>
      <c r="K705" s="196">
        <v>1594480</v>
      </c>
      <c r="L705" s="181"/>
      <c r="M705" s="181"/>
    </row>
    <row r="706" spans="1:13" x14ac:dyDescent="0.2">
      <c r="A706" s="176"/>
      <c r="B706" s="174"/>
      <c r="C706" s="175"/>
      <c r="D706" s="176"/>
      <c r="E706" s="176"/>
      <c r="F706" s="176"/>
      <c r="G706" s="176"/>
      <c r="H706" s="176"/>
      <c r="I706" s="377" t="s">
        <v>1028</v>
      </c>
      <c r="J706" s="378" t="s">
        <v>190</v>
      </c>
      <c r="K706" s="196">
        <v>1594480</v>
      </c>
      <c r="L706" s="181"/>
      <c r="M706" s="181"/>
    </row>
    <row r="707" spans="1:13" x14ac:dyDescent="0.2">
      <c r="A707" s="176"/>
      <c r="B707" s="174"/>
      <c r="C707" s="175"/>
      <c r="D707" s="176"/>
      <c r="E707" s="176"/>
      <c r="F707" s="176"/>
      <c r="G707" s="176"/>
      <c r="H707" s="176"/>
      <c r="I707" s="341" t="s">
        <v>1029</v>
      </c>
      <c r="J707" s="350" t="s">
        <v>662</v>
      </c>
      <c r="K707" s="196">
        <v>797240</v>
      </c>
      <c r="L707" s="181"/>
      <c r="M707" s="181"/>
    </row>
    <row r="708" spans="1:13" x14ac:dyDescent="0.2">
      <c r="A708" s="176"/>
      <c r="B708" s="174"/>
      <c r="C708" s="175"/>
      <c r="D708" s="176"/>
      <c r="E708" s="176"/>
      <c r="F708" s="176"/>
      <c r="G708" s="176"/>
      <c r="H708" s="176"/>
      <c r="I708" s="340" t="s">
        <v>626</v>
      </c>
      <c r="J708" s="339" t="s">
        <v>190</v>
      </c>
      <c r="K708" s="214">
        <v>797240</v>
      </c>
      <c r="L708" s="181"/>
      <c r="M708" s="181"/>
    </row>
    <row r="709" spans="1:13" x14ac:dyDescent="0.2">
      <c r="A709" s="188"/>
      <c r="B709" s="186"/>
      <c r="C709" s="187"/>
      <c r="D709" s="188"/>
      <c r="E709" s="188"/>
      <c r="F709" s="188"/>
      <c r="G709" s="188"/>
      <c r="H709" s="188"/>
      <c r="I709" s="379"/>
      <c r="J709" s="342"/>
      <c r="K709" s="247">
        <v>15944800</v>
      </c>
      <c r="L709" s="193"/>
      <c r="M709" s="193"/>
    </row>
    <row r="710" spans="1:13" x14ac:dyDescent="0.2">
      <c r="A710" s="166">
        <v>166</v>
      </c>
      <c r="B710" s="164" t="s">
        <v>1030</v>
      </c>
      <c r="C710" s="165"/>
      <c r="D710" s="252" t="s">
        <v>107</v>
      </c>
      <c r="E710" s="166"/>
      <c r="F710" s="166"/>
      <c r="G710" s="166"/>
      <c r="H710" s="166"/>
      <c r="I710" s="167" t="s">
        <v>1031</v>
      </c>
      <c r="J710" s="194" t="s">
        <v>599</v>
      </c>
      <c r="K710" s="169">
        <f>7000*85%</f>
        <v>5950</v>
      </c>
      <c r="L710" s="170" t="s">
        <v>111</v>
      </c>
      <c r="M710" s="171" t="s">
        <v>1032</v>
      </c>
    </row>
    <row r="711" spans="1:13" x14ac:dyDescent="0.2">
      <c r="A711" s="176"/>
      <c r="B711" s="174"/>
      <c r="C711" s="175"/>
      <c r="D711" s="245"/>
      <c r="E711" s="176"/>
      <c r="F711" s="176"/>
      <c r="G711" s="176"/>
      <c r="H711" s="176"/>
      <c r="I711" s="184" t="s">
        <v>1033</v>
      </c>
      <c r="J711" s="304" t="s">
        <v>599</v>
      </c>
      <c r="K711" s="208">
        <f>7000*5%</f>
        <v>350</v>
      </c>
      <c r="L711" s="180"/>
      <c r="M711" s="181"/>
    </row>
    <row r="712" spans="1:13" x14ac:dyDescent="0.2">
      <c r="A712" s="176"/>
      <c r="B712" s="174"/>
      <c r="C712" s="175"/>
      <c r="D712" s="245"/>
      <c r="E712" s="176"/>
      <c r="F712" s="176"/>
      <c r="G712" s="176"/>
      <c r="H712" s="176"/>
      <c r="I712" s="184" t="s">
        <v>1034</v>
      </c>
      <c r="J712" s="168" t="s">
        <v>599</v>
      </c>
      <c r="K712" s="230">
        <f>7000*5%</f>
        <v>350</v>
      </c>
      <c r="L712" s="180"/>
      <c r="M712" s="181"/>
    </row>
    <row r="713" spans="1:13" x14ac:dyDescent="0.2">
      <c r="A713" s="176"/>
      <c r="B713" s="174"/>
      <c r="C713" s="175"/>
      <c r="D713" s="245"/>
      <c r="E713" s="176"/>
      <c r="F713" s="176"/>
      <c r="G713" s="176"/>
      <c r="H713" s="176"/>
      <c r="I713" s="184" t="s">
        <v>1035</v>
      </c>
      <c r="J713" s="178" t="s">
        <v>599</v>
      </c>
      <c r="K713" s="208">
        <f>7000*5%</f>
        <v>350</v>
      </c>
      <c r="L713" s="180"/>
      <c r="M713" s="181"/>
    </row>
    <row r="714" spans="1:13" x14ac:dyDescent="0.2">
      <c r="A714" s="188"/>
      <c r="B714" s="186"/>
      <c r="C714" s="187"/>
      <c r="D714" s="246"/>
      <c r="E714" s="188"/>
      <c r="F714" s="188"/>
      <c r="G714" s="188"/>
      <c r="H714" s="188"/>
      <c r="I714" s="189"/>
      <c r="J714" s="215"/>
      <c r="K714" s="209">
        <f>SUM(K710:K713)</f>
        <v>7000</v>
      </c>
      <c r="L714" s="192"/>
      <c r="M714" s="193"/>
    </row>
    <row r="715" spans="1:13" x14ac:dyDescent="0.2">
      <c r="A715" s="166">
        <v>167</v>
      </c>
      <c r="B715" s="164" t="s">
        <v>1036</v>
      </c>
      <c r="C715" s="165"/>
      <c r="D715" s="252" t="s">
        <v>107</v>
      </c>
      <c r="E715" s="166"/>
      <c r="F715" s="166"/>
      <c r="G715" s="166"/>
      <c r="H715" s="166"/>
      <c r="I715" s="167" t="s">
        <v>1037</v>
      </c>
      <c r="J715" s="194" t="s">
        <v>599</v>
      </c>
      <c r="K715" s="206">
        <f>6500*80%</f>
        <v>5200</v>
      </c>
      <c r="L715" s="170" t="s">
        <v>111</v>
      </c>
      <c r="M715" s="171" t="s">
        <v>1038</v>
      </c>
    </row>
    <row r="716" spans="1:13" x14ac:dyDescent="0.2">
      <c r="A716" s="176"/>
      <c r="B716" s="174"/>
      <c r="C716" s="175"/>
      <c r="D716" s="245"/>
      <c r="E716" s="176"/>
      <c r="F716" s="176"/>
      <c r="G716" s="176"/>
      <c r="H716" s="176"/>
      <c r="I716" s="177" t="s">
        <v>1039</v>
      </c>
      <c r="J716" s="168" t="s">
        <v>599</v>
      </c>
      <c r="K716" s="201">
        <f>6500*10%</f>
        <v>650</v>
      </c>
      <c r="L716" s="180"/>
      <c r="M716" s="181"/>
    </row>
    <row r="717" spans="1:13" x14ac:dyDescent="0.2">
      <c r="A717" s="176"/>
      <c r="B717" s="174"/>
      <c r="C717" s="175"/>
      <c r="D717" s="245"/>
      <c r="E717" s="176"/>
      <c r="F717" s="176"/>
      <c r="G717" s="176"/>
      <c r="H717" s="176"/>
      <c r="I717" s="177" t="s">
        <v>1040</v>
      </c>
      <c r="J717" s="178" t="s">
        <v>599</v>
      </c>
      <c r="K717" s="208">
        <f>6500*10%</f>
        <v>650</v>
      </c>
      <c r="L717" s="180"/>
      <c r="M717" s="181"/>
    </row>
    <row r="718" spans="1:13" x14ac:dyDescent="0.2">
      <c r="A718" s="188"/>
      <c r="B718" s="186"/>
      <c r="C718" s="187"/>
      <c r="D718" s="246"/>
      <c r="E718" s="188"/>
      <c r="F718" s="188"/>
      <c r="G718" s="188"/>
      <c r="H718" s="188"/>
      <c r="I718" s="202"/>
      <c r="J718" s="215"/>
      <c r="K718" s="209">
        <f>SUM(K715:K717)</f>
        <v>6500</v>
      </c>
      <c r="L718" s="192"/>
      <c r="M718" s="193"/>
    </row>
    <row r="719" spans="1:13" x14ac:dyDescent="0.2">
      <c r="A719" s="166">
        <v>168</v>
      </c>
      <c r="B719" s="164" t="s">
        <v>1041</v>
      </c>
      <c r="C719" s="165"/>
      <c r="D719" s="252" t="s">
        <v>107</v>
      </c>
      <c r="E719" s="166"/>
      <c r="F719" s="166"/>
      <c r="G719" s="166"/>
      <c r="H719" s="166"/>
      <c r="I719" s="167" t="s">
        <v>1042</v>
      </c>
      <c r="J719" s="194" t="s">
        <v>599</v>
      </c>
      <c r="K719" s="206">
        <f>7000*90%</f>
        <v>6300</v>
      </c>
      <c r="L719" s="170" t="s">
        <v>111</v>
      </c>
      <c r="M719" s="171" t="s">
        <v>1043</v>
      </c>
    </row>
    <row r="720" spans="1:13" x14ac:dyDescent="0.2">
      <c r="A720" s="176"/>
      <c r="B720" s="174"/>
      <c r="C720" s="175"/>
      <c r="D720" s="245"/>
      <c r="E720" s="176"/>
      <c r="F720" s="176"/>
      <c r="G720" s="176"/>
      <c r="H720" s="176"/>
      <c r="I720" s="184" t="s">
        <v>1033</v>
      </c>
      <c r="J720" s="304" t="s">
        <v>599</v>
      </c>
      <c r="K720" s="208">
        <f>7000*5%</f>
        <v>350</v>
      </c>
      <c r="L720" s="180"/>
      <c r="M720" s="181"/>
    </row>
    <row r="721" spans="1:13" x14ac:dyDescent="0.2">
      <c r="A721" s="176"/>
      <c r="B721" s="174"/>
      <c r="C721" s="175"/>
      <c r="D721" s="245"/>
      <c r="E721" s="176"/>
      <c r="F721" s="176"/>
      <c r="G721" s="176"/>
      <c r="H721" s="176"/>
      <c r="I721" s="184" t="s">
        <v>1044</v>
      </c>
      <c r="J721" s="304" t="s">
        <v>599</v>
      </c>
      <c r="K721" s="201">
        <f>7000*5%</f>
        <v>350</v>
      </c>
      <c r="L721" s="180"/>
      <c r="M721" s="181"/>
    </row>
    <row r="722" spans="1:13" x14ac:dyDescent="0.2">
      <c r="A722" s="188"/>
      <c r="B722" s="186"/>
      <c r="C722" s="187"/>
      <c r="D722" s="246"/>
      <c r="E722" s="188"/>
      <c r="F722" s="188"/>
      <c r="G722" s="188"/>
      <c r="H722" s="188"/>
      <c r="I722" s="189"/>
      <c r="J722" s="215"/>
      <c r="K722" s="216">
        <f>SUM(K719:K721)</f>
        <v>7000</v>
      </c>
      <c r="L722" s="192"/>
      <c r="M722" s="193"/>
    </row>
    <row r="723" spans="1:13" x14ac:dyDescent="0.2">
      <c r="A723" s="166">
        <v>169</v>
      </c>
      <c r="B723" s="321" t="s">
        <v>1045</v>
      </c>
      <c r="C723" s="322"/>
      <c r="D723" s="252" t="s">
        <v>107</v>
      </c>
      <c r="E723" s="166"/>
      <c r="F723" s="166"/>
      <c r="G723" s="166"/>
      <c r="H723" s="166"/>
      <c r="I723" s="167" t="s">
        <v>1046</v>
      </c>
      <c r="J723" s="168" t="s">
        <v>599</v>
      </c>
      <c r="K723" s="212">
        <f>6500*80%</f>
        <v>5200</v>
      </c>
      <c r="L723" s="170" t="s">
        <v>111</v>
      </c>
      <c r="M723" s="171" t="s">
        <v>1047</v>
      </c>
    </row>
    <row r="724" spans="1:13" x14ac:dyDescent="0.2">
      <c r="A724" s="176"/>
      <c r="B724" s="325"/>
      <c r="C724" s="326"/>
      <c r="D724" s="245"/>
      <c r="E724" s="176"/>
      <c r="F724" s="176"/>
      <c r="G724" s="176"/>
      <c r="H724" s="176"/>
      <c r="I724" s="184" t="s">
        <v>1048</v>
      </c>
      <c r="J724" s="178" t="s">
        <v>599</v>
      </c>
      <c r="K724" s="201">
        <f>6500*5%</f>
        <v>325</v>
      </c>
      <c r="L724" s="180"/>
      <c r="M724" s="181"/>
    </row>
    <row r="725" spans="1:13" x14ac:dyDescent="0.2">
      <c r="A725" s="176"/>
      <c r="B725" s="325"/>
      <c r="C725" s="326"/>
      <c r="D725" s="245"/>
      <c r="E725" s="176"/>
      <c r="F725" s="176"/>
      <c r="G725" s="176"/>
      <c r="H725" s="176"/>
      <c r="I725" s="184" t="s">
        <v>1044</v>
      </c>
      <c r="J725" s="168" t="s">
        <v>599</v>
      </c>
      <c r="K725" s="182">
        <f>6500*5%</f>
        <v>325</v>
      </c>
      <c r="L725" s="180"/>
      <c r="M725" s="181"/>
    </row>
    <row r="726" spans="1:13" x14ac:dyDescent="0.2">
      <c r="A726" s="176"/>
      <c r="B726" s="325"/>
      <c r="C726" s="326"/>
      <c r="D726" s="245"/>
      <c r="E726" s="176"/>
      <c r="F726" s="176"/>
      <c r="G726" s="176"/>
      <c r="H726" s="176"/>
      <c r="I726" s="184" t="s">
        <v>1049</v>
      </c>
      <c r="J726" s="178" t="s">
        <v>599</v>
      </c>
      <c r="K726" s="179">
        <f>6500*5%</f>
        <v>325</v>
      </c>
      <c r="L726" s="180"/>
      <c r="M726" s="181"/>
    </row>
    <row r="727" spans="1:13" x14ac:dyDescent="0.2">
      <c r="A727" s="176"/>
      <c r="B727" s="325"/>
      <c r="C727" s="326"/>
      <c r="D727" s="245"/>
      <c r="E727" s="176"/>
      <c r="F727" s="176"/>
      <c r="G727" s="176"/>
      <c r="H727" s="176"/>
      <c r="I727" s="184" t="s">
        <v>1050</v>
      </c>
      <c r="J727" s="178" t="s">
        <v>599</v>
      </c>
      <c r="K727" s="179">
        <f>6500*5%</f>
        <v>325</v>
      </c>
      <c r="L727" s="180"/>
      <c r="M727" s="181"/>
    </row>
    <row r="728" spans="1:13" x14ac:dyDescent="0.2">
      <c r="A728" s="188"/>
      <c r="B728" s="327"/>
      <c r="C728" s="328"/>
      <c r="D728" s="246"/>
      <c r="E728" s="188"/>
      <c r="F728" s="188"/>
      <c r="G728" s="188"/>
      <c r="H728" s="188"/>
      <c r="I728" s="189"/>
      <c r="J728" s="215"/>
      <c r="K728" s="216">
        <f>SUM(K723:K727)</f>
        <v>6500</v>
      </c>
      <c r="L728" s="192"/>
      <c r="M728" s="193"/>
    </row>
    <row r="729" spans="1:13" x14ac:dyDescent="0.2">
      <c r="A729" s="166">
        <v>170</v>
      </c>
      <c r="B729" s="164" t="s">
        <v>1051</v>
      </c>
      <c r="C729" s="165"/>
      <c r="D729" s="252" t="s">
        <v>107</v>
      </c>
      <c r="E729" s="166"/>
      <c r="F729" s="166"/>
      <c r="G729" s="166"/>
      <c r="H729" s="166"/>
      <c r="I729" s="167" t="s">
        <v>1052</v>
      </c>
      <c r="J729" s="168" t="s">
        <v>599</v>
      </c>
      <c r="K729" s="212">
        <f>6000*25%</f>
        <v>1500</v>
      </c>
      <c r="L729" s="170" t="s">
        <v>111</v>
      </c>
      <c r="M729" s="171" t="s">
        <v>1053</v>
      </c>
    </row>
    <row r="730" spans="1:13" x14ac:dyDescent="0.2">
      <c r="A730" s="176"/>
      <c r="B730" s="174"/>
      <c r="C730" s="175"/>
      <c r="D730" s="245"/>
      <c r="E730" s="176"/>
      <c r="F730" s="176"/>
      <c r="G730" s="176"/>
      <c r="H730" s="176"/>
      <c r="I730" s="177" t="s">
        <v>1054</v>
      </c>
      <c r="J730" s="178" t="s">
        <v>599</v>
      </c>
      <c r="K730" s="201">
        <f>6000*6%</f>
        <v>360</v>
      </c>
      <c r="L730" s="180"/>
      <c r="M730" s="181"/>
    </row>
    <row r="731" spans="1:13" x14ac:dyDescent="0.2">
      <c r="A731" s="176"/>
      <c r="B731" s="174"/>
      <c r="C731" s="175"/>
      <c r="D731" s="245"/>
      <c r="E731" s="176"/>
      <c r="F731" s="176"/>
      <c r="G731" s="176"/>
      <c r="H731" s="176"/>
      <c r="I731" s="184" t="s">
        <v>1055</v>
      </c>
      <c r="J731" s="168" t="s">
        <v>599</v>
      </c>
      <c r="K731" s="230">
        <f>6000*5%</f>
        <v>300</v>
      </c>
      <c r="L731" s="180"/>
      <c r="M731" s="181"/>
    </row>
    <row r="732" spans="1:13" x14ac:dyDescent="0.2">
      <c r="A732" s="176"/>
      <c r="B732" s="174"/>
      <c r="C732" s="175"/>
      <c r="D732" s="245"/>
      <c r="E732" s="176"/>
      <c r="F732" s="176"/>
      <c r="G732" s="176"/>
      <c r="H732" s="176"/>
      <c r="I732" s="184" t="s">
        <v>1056</v>
      </c>
      <c r="J732" s="178" t="s">
        <v>599</v>
      </c>
      <c r="K732" s="208">
        <f>6000*35%</f>
        <v>2100</v>
      </c>
      <c r="L732" s="180"/>
      <c r="M732" s="181"/>
    </row>
    <row r="733" spans="1:13" x14ac:dyDescent="0.2">
      <c r="A733" s="176"/>
      <c r="B733" s="174"/>
      <c r="C733" s="175"/>
      <c r="D733" s="245"/>
      <c r="E733" s="176"/>
      <c r="F733" s="176"/>
      <c r="G733" s="176"/>
      <c r="H733" s="176"/>
      <c r="I733" s="184" t="s">
        <v>1057</v>
      </c>
      <c r="J733" s="304" t="s">
        <v>599</v>
      </c>
      <c r="K733" s="208">
        <f>6000*5%</f>
        <v>300</v>
      </c>
      <c r="L733" s="180"/>
      <c r="M733" s="181"/>
    </row>
    <row r="734" spans="1:13" x14ac:dyDescent="0.2">
      <c r="A734" s="176"/>
      <c r="B734" s="174"/>
      <c r="C734" s="175"/>
      <c r="D734" s="245"/>
      <c r="E734" s="176"/>
      <c r="F734" s="176"/>
      <c r="G734" s="176"/>
      <c r="H734" s="176"/>
      <c r="I734" s="184" t="s">
        <v>1058</v>
      </c>
      <c r="J734" s="304" t="s">
        <v>599</v>
      </c>
      <c r="K734" s="208">
        <f>6000*5%</f>
        <v>300</v>
      </c>
      <c r="L734" s="180"/>
      <c r="M734" s="181"/>
    </row>
    <row r="735" spans="1:13" x14ac:dyDescent="0.2">
      <c r="A735" s="176"/>
      <c r="B735" s="174"/>
      <c r="C735" s="175"/>
      <c r="D735" s="245"/>
      <c r="E735" s="176"/>
      <c r="F735" s="176"/>
      <c r="G735" s="176"/>
      <c r="H735" s="176"/>
      <c r="I735" s="184" t="s">
        <v>1059</v>
      </c>
      <c r="J735" s="168" t="s">
        <v>599</v>
      </c>
      <c r="K735" s="201">
        <f t="shared" ref="K735:K741" si="12">6000*2%</f>
        <v>120</v>
      </c>
      <c r="L735" s="180"/>
      <c r="M735" s="181"/>
    </row>
    <row r="736" spans="1:13" x14ac:dyDescent="0.2">
      <c r="A736" s="176"/>
      <c r="B736" s="174"/>
      <c r="C736" s="175"/>
      <c r="D736" s="245"/>
      <c r="E736" s="176"/>
      <c r="F736" s="176"/>
      <c r="G736" s="176"/>
      <c r="H736" s="176"/>
      <c r="I736" s="184" t="s">
        <v>1060</v>
      </c>
      <c r="J736" s="178" t="s">
        <v>599</v>
      </c>
      <c r="K736" s="208">
        <f t="shared" si="12"/>
        <v>120</v>
      </c>
      <c r="L736" s="180"/>
      <c r="M736" s="181"/>
    </row>
    <row r="737" spans="1:13" x14ac:dyDescent="0.2">
      <c r="A737" s="176"/>
      <c r="B737" s="174"/>
      <c r="C737" s="175"/>
      <c r="D737" s="245"/>
      <c r="E737" s="176"/>
      <c r="F737" s="176"/>
      <c r="G737" s="176"/>
      <c r="H737" s="176"/>
      <c r="I737" s="167" t="s">
        <v>1061</v>
      </c>
      <c r="J737" s="178" t="s">
        <v>599</v>
      </c>
      <c r="K737" s="201">
        <f t="shared" si="12"/>
        <v>120</v>
      </c>
      <c r="L737" s="180"/>
      <c r="M737" s="181"/>
    </row>
    <row r="738" spans="1:13" x14ac:dyDescent="0.2">
      <c r="A738" s="176"/>
      <c r="B738" s="174"/>
      <c r="C738" s="175"/>
      <c r="D738" s="245"/>
      <c r="E738" s="176"/>
      <c r="F738" s="176"/>
      <c r="G738" s="176"/>
      <c r="H738" s="176"/>
      <c r="I738" s="184" t="s">
        <v>1062</v>
      </c>
      <c r="J738" s="178" t="s">
        <v>599</v>
      </c>
      <c r="K738" s="179">
        <f t="shared" si="12"/>
        <v>120</v>
      </c>
      <c r="L738" s="180"/>
      <c r="M738" s="181"/>
    </row>
    <row r="739" spans="1:13" x14ac:dyDescent="0.2">
      <c r="A739" s="176"/>
      <c r="B739" s="174"/>
      <c r="C739" s="175"/>
      <c r="D739" s="245"/>
      <c r="E739" s="176"/>
      <c r="F739" s="176"/>
      <c r="G739" s="176"/>
      <c r="H739" s="176"/>
      <c r="I739" s="184" t="s">
        <v>1063</v>
      </c>
      <c r="J739" s="178" t="s">
        <v>599</v>
      </c>
      <c r="K739" s="208">
        <f t="shared" si="12"/>
        <v>120</v>
      </c>
      <c r="L739" s="180"/>
      <c r="M739" s="181"/>
    </row>
    <row r="740" spans="1:13" x14ac:dyDescent="0.2">
      <c r="A740" s="176"/>
      <c r="B740" s="174"/>
      <c r="C740" s="175"/>
      <c r="D740" s="245"/>
      <c r="E740" s="176"/>
      <c r="F740" s="176"/>
      <c r="G740" s="176"/>
      <c r="H740" s="176"/>
      <c r="I740" s="167" t="s">
        <v>1064</v>
      </c>
      <c r="J740" s="178" t="s">
        <v>599</v>
      </c>
      <c r="K740" s="208">
        <f t="shared" si="12"/>
        <v>120</v>
      </c>
      <c r="L740" s="180"/>
      <c r="M740" s="181"/>
    </row>
    <row r="741" spans="1:13" x14ac:dyDescent="0.2">
      <c r="A741" s="176"/>
      <c r="B741" s="174"/>
      <c r="C741" s="175"/>
      <c r="D741" s="245"/>
      <c r="E741" s="176"/>
      <c r="F741" s="176"/>
      <c r="G741" s="176"/>
      <c r="H741" s="176"/>
      <c r="I741" s="177" t="s">
        <v>1065</v>
      </c>
      <c r="J741" s="178" t="s">
        <v>599</v>
      </c>
      <c r="K741" s="208">
        <f t="shared" si="12"/>
        <v>120</v>
      </c>
      <c r="L741" s="180"/>
      <c r="M741" s="181"/>
    </row>
    <row r="742" spans="1:13" x14ac:dyDescent="0.2">
      <c r="A742" s="176"/>
      <c r="B742" s="174"/>
      <c r="C742" s="175"/>
      <c r="D742" s="245"/>
      <c r="E742" s="176"/>
      <c r="F742" s="176"/>
      <c r="G742" s="176"/>
      <c r="H742" s="176"/>
      <c r="I742" s="184" t="s">
        <v>1066</v>
      </c>
      <c r="J742" s="304" t="s">
        <v>599</v>
      </c>
      <c r="K742" s="208">
        <f>6000*5%</f>
        <v>300</v>
      </c>
      <c r="L742" s="180"/>
      <c r="M742" s="181"/>
    </row>
    <row r="743" spans="1:13" x14ac:dyDescent="0.2">
      <c r="A743" s="188"/>
      <c r="B743" s="186"/>
      <c r="C743" s="187"/>
      <c r="D743" s="246"/>
      <c r="E743" s="188"/>
      <c r="F743" s="188"/>
      <c r="G743" s="188"/>
      <c r="H743" s="188"/>
      <c r="I743" s="189"/>
      <c r="J743" s="215"/>
      <c r="K743" s="209">
        <f>SUM(K729:K742)</f>
        <v>6000</v>
      </c>
      <c r="L743" s="192"/>
      <c r="M743" s="193"/>
    </row>
    <row r="744" spans="1:13" x14ac:dyDescent="0.2">
      <c r="A744" s="166">
        <v>171</v>
      </c>
      <c r="B744" s="164" t="s">
        <v>1067</v>
      </c>
      <c r="C744" s="165"/>
      <c r="D744" s="252" t="s">
        <v>107</v>
      </c>
      <c r="E744" s="166"/>
      <c r="F744" s="166"/>
      <c r="G744" s="166"/>
      <c r="H744" s="166"/>
      <c r="I744" s="217" t="s">
        <v>1068</v>
      </c>
      <c r="J744" s="168" t="s">
        <v>599</v>
      </c>
      <c r="K744" s="169">
        <f>7000*40%</f>
        <v>2800</v>
      </c>
      <c r="L744" s="170" t="s">
        <v>111</v>
      </c>
      <c r="M744" s="171" t="s">
        <v>1069</v>
      </c>
    </row>
    <row r="745" spans="1:13" x14ac:dyDescent="0.2">
      <c r="A745" s="176"/>
      <c r="B745" s="174"/>
      <c r="C745" s="175"/>
      <c r="D745" s="245"/>
      <c r="E745" s="176"/>
      <c r="F745" s="176"/>
      <c r="G745" s="176"/>
      <c r="H745" s="176"/>
      <c r="I745" s="167" t="s">
        <v>1057</v>
      </c>
      <c r="J745" s="178" t="s">
        <v>599</v>
      </c>
      <c r="K745" s="208">
        <f>7000*5%</f>
        <v>350</v>
      </c>
      <c r="L745" s="180"/>
      <c r="M745" s="181"/>
    </row>
    <row r="746" spans="1:13" x14ac:dyDescent="0.2">
      <c r="A746" s="176"/>
      <c r="B746" s="174"/>
      <c r="C746" s="175"/>
      <c r="D746" s="245"/>
      <c r="E746" s="176"/>
      <c r="F746" s="176"/>
      <c r="G746" s="176"/>
      <c r="H746" s="176"/>
      <c r="I746" s="184" t="s">
        <v>831</v>
      </c>
      <c r="J746" s="304" t="s">
        <v>599</v>
      </c>
      <c r="K746" s="201">
        <f>7000*2%</f>
        <v>140</v>
      </c>
      <c r="L746" s="180"/>
      <c r="M746" s="181"/>
    </row>
    <row r="747" spans="1:13" x14ac:dyDescent="0.2">
      <c r="A747" s="176"/>
      <c r="B747" s="174"/>
      <c r="C747" s="175"/>
      <c r="D747" s="245"/>
      <c r="E747" s="176"/>
      <c r="F747" s="176"/>
      <c r="G747" s="176"/>
      <c r="H747" s="176"/>
      <c r="I747" s="184" t="s">
        <v>1070</v>
      </c>
      <c r="J747" s="304" t="s">
        <v>599</v>
      </c>
      <c r="K747" s="179">
        <f>7000*2%</f>
        <v>140</v>
      </c>
      <c r="L747" s="180"/>
      <c r="M747" s="181"/>
    </row>
    <row r="748" spans="1:13" x14ac:dyDescent="0.2">
      <c r="A748" s="176"/>
      <c r="B748" s="174"/>
      <c r="C748" s="175"/>
      <c r="D748" s="245"/>
      <c r="E748" s="176"/>
      <c r="F748" s="176"/>
      <c r="G748" s="176"/>
      <c r="H748" s="176"/>
      <c r="I748" s="167" t="s">
        <v>1071</v>
      </c>
      <c r="J748" s="168" t="s">
        <v>599</v>
      </c>
      <c r="K748" s="182">
        <f>7000*2%</f>
        <v>140</v>
      </c>
      <c r="L748" s="180"/>
      <c r="M748" s="181"/>
    </row>
    <row r="749" spans="1:13" x14ac:dyDescent="0.2">
      <c r="A749" s="176"/>
      <c r="B749" s="174"/>
      <c r="C749" s="175"/>
      <c r="D749" s="245"/>
      <c r="E749" s="176"/>
      <c r="F749" s="176"/>
      <c r="G749" s="176"/>
      <c r="H749" s="176"/>
      <c r="I749" s="184" t="s">
        <v>1072</v>
      </c>
      <c r="J749" s="178" t="s">
        <v>599</v>
      </c>
      <c r="K749" s="179">
        <f>7000*2%</f>
        <v>140</v>
      </c>
      <c r="L749" s="180"/>
      <c r="M749" s="181"/>
    </row>
    <row r="750" spans="1:13" x14ac:dyDescent="0.2">
      <c r="A750" s="176"/>
      <c r="B750" s="174"/>
      <c r="C750" s="175"/>
      <c r="D750" s="245"/>
      <c r="E750" s="176"/>
      <c r="F750" s="176"/>
      <c r="G750" s="176"/>
      <c r="H750" s="176"/>
      <c r="I750" s="167" t="s">
        <v>1073</v>
      </c>
      <c r="J750" s="168" t="s">
        <v>599</v>
      </c>
      <c r="K750" s="182">
        <f>7000*2%</f>
        <v>140</v>
      </c>
      <c r="L750" s="180"/>
      <c r="M750" s="181"/>
    </row>
    <row r="751" spans="1:13" x14ac:dyDescent="0.2">
      <c r="A751" s="176"/>
      <c r="B751" s="174"/>
      <c r="C751" s="175"/>
      <c r="D751" s="245"/>
      <c r="E751" s="176"/>
      <c r="F751" s="176"/>
      <c r="G751" s="176"/>
      <c r="H751" s="176"/>
      <c r="I751" s="184" t="s">
        <v>1074</v>
      </c>
      <c r="J751" s="178" t="s">
        <v>599</v>
      </c>
      <c r="K751" s="208">
        <f>7000*45%</f>
        <v>3150</v>
      </c>
      <c r="L751" s="180"/>
      <c r="M751" s="181"/>
    </row>
    <row r="752" spans="1:13" x14ac:dyDescent="0.2">
      <c r="A752" s="188"/>
      <c r="B752" s="186"/>
      <c r="C752" s="187"/>
      <c r="D752" s="246"/>
      <c r="E752" s="188"/>
      <c r="F752" s="188"/>
      <c r="G752" s="188"/>
      <c r="H752" s="188"/>
      <c r="I752" s="189"/>
      <c r="J752" s="190"/>
      <c r="K752" s="209">
        <f>SUM(K744:K751)</f>
        <v>7000</v>
      </c>
      <c r="L752" s="192"/>
      <c r="M752" s="193"/>
    </row>
    <row r="753" spans="1:13" x14ac:dyDescent="0.2">
      <c r="A753" s="166">
        <v>172</v>
      </c>
      <c r="B753" s="164" t="s">
        <v>1075</v>
      </c>
      <c r="C753" s="165"/>
      <c r="D753" s="252" t="s">
        <v>107</v>
      </c>
      <c r="E753" s="166"/>
      <c r="F753" s="166"/>
      <c r="G753" s="166"/>
      <c r="H753" s="166"/>
      <c r="I753" s="167" t="s">
        <v>1076</v>
      </c>
      <c r="J753" s="168" t="s">
        <v>599</v>
      </c>
      <c r="K753" s="169">
        <f>7000*80%</f>
        <v>5600</v>
      </c>
      <c r="L753" s="195" t="s">
        <v>111</v>
      </c>
      <c r="M753" s="171" t="s">
        <v>1077</v>
      </c>
    </row>
    <row r="754" spans="1:13" x14ac:dyDescent="0.2">
      <c r="A754" s="176"/>
      <c r="B754" s="174"/>
      <c r="C754" s="175"/>
      <c r="D754" s="245"/>
      <c r="E754" s="176"/>
      <c r="F754" s="176"/>
      <c r="G754" s="176"/>
      <c r="H754" s="176"/>
      <c r="I754" s="177" t="s">
        <v>1078</v>
      </c>
      <c r="J754" s="178" t="s">
        <v>641</v>
      </c>
      <c r="K754" s="200">
        <f>7000*5%</f>
        <v>350</v>
      </c>
      <c r="L754" s="197"/>
      <c r="M754" s="181"/>
    </row>
    <row r="755" spans="1:13" x14ac:dyDescent="0.2">
      <c r="A755" s="176"/>
      <c r="B755" s="174"/>
      <c r="C755" s="175"/>
      <c r="D755" s="245"/>
      <c r="E755" s="176"/>
      <c r="F755" s="176"/>
      <c r="G755" s="176"/>
      <c r="H755" s="176"/>
      <c r="I755" s="177" t="s">
        <v>1079</v>
      </c>
      <c r="J755" s="304" t="s">
        <v>599</v>
      </c>
      <c r="K755" s="200">
        <f>7000*5%</f>
        <v>350</v>
      </c>
      <c r="L755" s="197"/>
      <c r="M755" s="181"/>
    </row>
    <row r="756" spans="1:13" x14ac:dyDescent="0.2">
      <c r="A756" s="176"/>
      <c r="B756" s="174"/>
      <c r="C756" s="175"/>
      <c r="D756" s="245"/>
      <c r="E756" s="176"/>
      <c r="F756" s="176"/>
      <c r="G756" s="176"/>
      <c r="H756" s="176"/>
      <c r="I756" s="184" t="s">
        <v>1080</v>
      </c>
      <c r="J756" s="304" t="s">
        <v>641</v>
      </c>
      <c r="K756" s="201">
        <f>7000*5%</f>
        <v>350</v>
      </c>
      <c r="L756" s="197"/>
      <c r="M756" s="181"/>
    </row>
    <row r="757" spans="1:13" x14ac:dyDescent="0.2">
      <c r="A757" s="176"/>
      <c r="B757" s="174"/>
      <c r="C757" s="175"/>
      <c r="D757" s="245"/>
      <c r="E757" s="176"/>
      <c r="F757" s="176"/>
      <c r="G757" s="176"/>
      <c r="H757" s="176"/>
      <c r="I757" s="167" t="s">
        <v>1081</v>
      </c>
      <c r="J757" s="178" t="s">
        <v>641</v>
      </c>
      <c r="K757" s="198">
        <f>7000*5%</f>
        <v>350</v>
      </c>
      <c r="L757" s="197"/>
      <c r="M757" s="181"/>
    </row>
    <row r="758" spans="1:13" x14ac:dyDescent="0.2">
      <c r="A758" s="188"/>
      <c r="B758" s="186"/>
      <c r="C758" s="187"/>
      <c r="D758" s="246"/>
      <c r="E758" s="188"/>
      <c r="F758" s="188"/>
      <c r="G758" s="188"/>
      <c r="H758" s="188"/>
      <c r="I758" s="202"/>
      <c r="J758" s="215"/>
      <c r="K758" s="204">
        <f>SUM(K753:K757)</f>
        <v>7000</v>
      </c>
      <c r="L758" s="205"/>
      <c r="M758" s="193"/>
    </row>
    <row r="759" spans="1:13" ht="42.75" customHeight="1" x14ac:dyDescent="0.2">
      <c r="A759" s="232">
        <v>173</v>
      </c>
      <c r="B759" s="255" t="s">
        <v>1082</v>
      </c>
      <c r="C759" s="256" t="s">
        <v>1083</v>
      </c>
      <c r="D759" s="257" t="s">
        <v>107</v>
      </c>
      <c r="E759" s="258"/>
      <c r="F759" s="258"/>
      <c r="G759" s="258"/>
      <c r="H759" s="259"/>
      <c r="I759" s="189" t="s">
        <v>1084</v>
      </c>
      <c r="J759" s="215" t="s">
        <v>599</v>
      </c>
      <c r="K759" s="260">
        <v>8000</v>
      </c>
      <c r="L759" s="261" t="s">
        <v>111</v>
      </c>
      <c r="M759" s="189" t="s">
        <v>1085</v>
      </c>
    </row>
    <row r="760" spans="1:13" ht="42.75" customHeight="1" x14ac:dyDescent="0.2">
      <c r="A760" s="232">
        <v>174</v>
      </c>
      <c r="B760" s="255" t="s">
        <v>1086</v>
      </c>
      <c r="C760" s="256" t="s">
        <v>1086</v>
      </c>
      <c r="D760" s="257" t="s">
        <v>107</v>
      </c>
      <c r="E760" s="258"/>
      <c r="F760" s="258"/>
      <c r="G760" s="258"/>
      <c r="H760" s="259"/>
      <c r="I760" s="189" t="s">
        <v>1087</v>
      </c>
      <c r="J760" s="215" t="s">
        <v>599</v>
      </c>
      <c r="K760" s="260">
        <v>30000</v>
      </c>
      <c r="L760" s="261" t="s">
        <v>111</v>
      </c>
      <c r="M760" s="189" t="s">
        <v>1088</v>
      </c>
    </row>
    <row r="761" spans="1:13" ht="84.75" customHeight="1" x14ac:dyDescent="0.2">
      <c r="A761" s="232">
        <v>175</v>
      </c>
      <c r="B761" s="255" t="s">
        <v>1089</v>
      </c>
      <c r="C761" s="256" t="s">
        <v>1089</v>
      </c>
      <c r="D761" s="257" t="s">
        <v>107</v>
      </c>
      <c r="E761" s="258"/>
      <c r="F761" s="258"/>
      <c r="G761" s="258"/>
      <c r="H761" s="259"/>
      <c r="I761" s="167" t="s">
        <v>1087</v>
      </c>
      <c r="J761" s="168" t="s">
        <v>599</v>
      </c>
      <c r="K761" s="169">
        <v>20000</v>
      </c>
      <c r="L761" s="261" t="s">
        <v>111</v>
      </c>
      <c r="M761" s="189" t="s">
        <v>1090</v>
      </c>
    </row>
    <row r="762" spans="1:13" ht="66" customHeight="1" x14ac:dyDescent="0.2">
      <c r="A762" s="232">
        <v>176</v>
      </c>
      <c r="B762" s="255" t="s">
        <v>1091</v>
      </c>
      <c r="C762" s="256" t="s">
        <v>1091</v>
      </c>
      <c r="D762" s="257" t="s">
        <v>107</v>
      </c>
      <c r="E762" s="258"/>
      <c r="F762" s="258"/>
      <c r="G762" s="258"/>
      <c r="H762" s="259"/>
      <c r="I762" s="282" t="s">
        <v>1087</v>
      </c>
      <c r="J762" s="283" t="s">
        <v>599</v>
      </c>
      <c r="K762" s="380">
        <v>20000</v>
      </c>
      <c r="L762" s="261" t="s">
        <v>111</v>
      </c>
      <c r="M762" s="189" t="s">
        <v>1092</v>
      </c>
    </row>
    <row r="763" spans="1:13" x14ac:dyDescent="0.2">
      <c r="A763" s="163">
        <v>177</v>
      </c>
      <c r="B763" s="164" t="s">
        <v>1093</v>
      </c>
      <c r="C763" s="165"/>
      <c r="D763" s="252" t="s">
        <v>107</v>
      </c>
      <c r="E763" s="166"/>
      <c r="F763" s="166"/>
      <c r="G763" s="166"/>
      <c r="H763" s="248"/>
      <c r="I763" s="217" t="s">
        <v>1094</v>
      </c>
      <c r="J763" s="223" t="s">
        <v>599</v>
      </c>
      <c r="K763" s="375">
        <f>20000*90%</f>
        <v>18000</v>
      </c>
      <c r="L763" s="195" t="s">
        <v>111</v>
      </c>
      <c r="M763" s="171" t="s">
        <v>1095</v>
      </c>
    </row>
    <row r="764" spans="1:13" x14ac:dyDescent="0.2">
      <c r="A764" s="173"/>
      <c r="B764" s="174"/>
      <c r="C764" s="175"/>
      <c r="D764" s="245"/>
      <c r="E764" s="176"/>
      <c r="F764" s="176"/>
      <c r="G764" s="176"/>
      <c r="H764" s="250"/>
      <c r="I764" s="177" t="s">
        <v>1039</v>
      </c>
      <c r="J764" s="207" t="s">
        <v>599</v>
      </c>
      <c r="K764" s="196">
        <f>20000*10%</f>
        <v>2000</v>
      </c>
      <c r="L764" s="197"/>
      <c r="M764" s="181"/>
    </row>
    <row r="765" spans="1:13" x14ac:dyDescent="0.2">
      <c r="A765" s="185"/>
      <c r="B765" s="186"/>
      <c r="C765" s="187"/>
      <c r="D765" s="246"/>
      <c r="E765" s="188"/>
      <c r="F765" s="188"/>
      <c r="G765" s="188"/>
      <c r="H765" s="251"/>
      <c r="I765" s="202"/>
      <c r="J765" s="381"/>
      <c r="K765" s="247">
        <f>SUM(K763:K764)</f>
        <v>20000</v>
      </c>
      <c r="L765" s="205"/>
      <c r="M765" s="193"/>
    </row>
    <row r="766" spans="1:13" x14ac:dyDescent="0.2">
      <c r="A766" s="163">
        <v>178</v>
      </c>
      <c r="B766" s="164" t="s">
        <v>1096</v>
      </c>
      <c r="C766" s="165"/>
      <c r="D766" s="252" t="s">
        <v>107</v>
      </c>
      <c r="E766" s="166"/>
      <c r="F766" s="166"/>
      <c r="G766" s="166"/>
      <c r="H766" s="248"/>
      <c r="I766" s="261" t="s">
        <v>1097</v>
      </c>
      <c r="J766" s="223" t="s">
        <v>599</v>
      </c>
      <c r="K766" s="268">
        <f>18000*50%</f>
        <v>9000</v>
      </c>
      <c r="L766" s="195" t="s">
        <v>111</v>
      </c>
      <c r="M766" s="171" t="s">
        <v>1098</v>
      </c>
    </row>
    <row r="767" spans="1:13" x14ac:dyDescent="0.2">
      <c r="A767" s="173"/>
      <c r="B767" s="174"/>
      <c r="C767" s="175"/>
      <c r="D767" s="245"/>
      <c r="E767" s="176"/>
      <c r="F767" s="176"/>
      <c r="G767" s="176"/>
      <c r="H767" s="250"/>
      <c r="I767" s="177" t="s">
        <v>1099</v>
      </c>
      <c r="J767" s="249" t="s">
        <v>599</v>
      </c>
      <c r="K767" s="382">
        <f>18000*10%</f>
        <v>1800</v>
      </c>
      <c r="L767" s="197"/>
      <c r="M767" s="181"/>
    </row>
    <row r="768" spans="1:13" x14ac:dyDescent="0.2">
      <c r="A768" s="173"/>
      <c r="B768" s="174"/>
      <c r="C768" s="175"/>
      <c r="D768" s="245"/>
      <c r="E768" s="176"/>
      <c r="F768" s="176"/>
      <c r="G768" s="176"/>
      <c r="H768" s="250"/>
      <c r="I768" s="177" t="s">
        <v>1100</v>
      </c>
      <c r="J768" s="138" t="s">
        <v>599</v>
      </c>
      <c r="K768" s="214">
        <f t="shared" ref="K768:K771" si="13">18000*10%</f>
        <v>1800</v>
      </c>
      <c r="L768" s="197"/>
      <c r="M768" s="181"/>
    </row>
    <row r="769" spans="1:13" x14ac:dyDescent="0.2">
      <c r="A769" s="173"/>
      <c r="B769" s="174"/>
      <c r="C769" s="175"/>
      <c r="D769" s="245"/>
      <c r="E769" s="176"/>
      <c r="F769" s="176"/>
      <c r="G769" s="176"/>
      <c r="H769" s="250"/>
      <c r="I769" s="177" t="s">
        <v>1101</v>
      </c>
      <c r="J769" s="207" t="s">
        <v>599</v>
      </c>
      <c r="K769" s="382">
        <f t="shared" si="13"/>
        <v>1800</v>
      </c>
      <c r="L769" s="197"/>
      <c r="M769" s="181"/>
    </row>
    <row r="770" spans="1:13" x14ac:dyDescent="0.2">
      <c r="A770" s="173"/>
      <c r="B770" s="174"/>
      <c r="C770" s="175"/>
      <c r="D770" s="245"/>
      <c r="E770" s="176"/>
      <c r="F770" s="176"/>
      <c r="G770" s="176"/>
      <c r="H770" s="250"/>
      <c r="I770" s="177" t="s">
        <v>1102</v>
      </c>
      <c r="J770" s="207" t="s">
        <v>599</v>
      </c>
      <c r="K770" s="196">
        <f t="shared" si="13"/>
        <v>1800</v>
      </c>
      <c r="L770" s="197"/>
      <c r="M770" s="181"/>
    </row>
    <row r="771" spans="1:13" x14ac:dyDescent="0.2">
      <c r="A771" s="173"/>
      <c r="B771" s="174"/>
      <c r="C771" s="175"/>
      <c r="D771" s="245"/>
      <c r="E771" s="176"/>
      <c r="F771" s="176"/>
      <c r="G771" s="176"/>
      <c r="H771" s="250"/>
      <c r="I771" s="184" t="s">
        <v>1103</v>
      </c>
      <c r="J771" s="207" t="s">
        <v>599</v>
      </c>
      <c r="K771" s="214">
        <f t="shared" si="13"/>
        <v>1800</v>
      </c>
      <c r="L771" s="197"/>
      <c r="M771" s="181"/>
    </row>
    <row r="772" spans="1:13" x14ac:dyDescent="0.2">
      <c r="A772" s="185"/>
      <c r="B772" s="186"/>
      <c r="C772" s="187"/>
      <c r="D772" s="246"/>
      <c r="E772" s="188"/>
      <c r="F772" s="188"/>
      <c r="G772" s="188"/>
      <c r="H772" s="251"/>
      <c r="I772" s="189"/>
      <c r="J772" s="381"/>
      <c r="K772" s="292">
        <f>SUM(K766:K771)</f>
        <v>18000</v>
      </c>
      <c r="L772" s="205"/>
      <c r="M772" s="193"/>
    </row>
    <row r="773" spans="1:13" ht="69.75" customHeight="1" x14ac:dyDescent="0.2">
      <c r="A773" s="232">
        <v>179</v>
      </c>
      <c r="B773" s="255" t="s">
        <v>1104</v>
      </c>
      <c r="C773" s="256" t="s">
        <v>1104</v>
      </c>
      <c r="D773" s="257" t="s">
        <v>107</v>
      </c>
      <c r="E773" s="258"/>
      <c r="F773" s="258"/>
      <c r="G773" s="258"/>
      <c r="H773" s="259"/>
      <c r="I773" s="282" t="s">
        <v>1105</v>
      </c>
      <c r="J773" s="312" t="s">
        <v>599</v>
      </c>
      <c r="K773" s="284">
        <v>18000</v>
      </c>
      <c r="L773" s="306" t="s">
        <v>111</v>
      </c>
      <c r="M773" s="189" t="s">
        <v>1106</v>
      </c>
    </row>
    <row r="774" spans="1:13" x14ac:dyDescent="0.2">
      <c r="A774" s="163">
        <v>180</v>
      </c>
      <c r="B774" s="164" t="s">
        <v>1107</v>
      </c>
      <c r="C774" s="165"/>
      <c r="D774" s="252" t="s">
        <v>107</v>
      </c>
      <c r="E774" s="166"/>
      <c r="F774" s="166"/>
      <c r="G774" s="166"/>
      <c r="H774" s="248"/>
      <c r="I774" s="167" t="s">
        <v>1108</v>
      </c>
      <c r="J774" s="138" t="s">
        <v>599</v>
      </c>
      <c r="K774" s="382">
        <f>50000*60%</f>
        <v>30000</v>
      </c>
      <c r="L774" s="195" t="s">
        <v>111</v>
      </c>
      <c r="M774" s="171" t="s">
        <v>1109</v>
      </c>
    </row>
    <row r="775" spans="1:13" x14ac:dyDescent="0.2">
      <c r="A775" s="173"/>
      <c r="B775" s="174"/>
      <c r="C775" s="175"/>
      <c r="D775" s="245"/>
      <c r="E775" s="176"/>
      <c r="F775" s="176"/>
      <c r="G775" s="176"/>
      <c r="H775" s="250"/>
      <c r="I775" s="177" t="s">
        <v>1110</v>
      </c>
      <c r="J775" s="207" t="s">
        <v>599</v>
      </c>
      <c r="K775" s="196">
        <f>50000*20%</f>
        <v>10000</v>
      </c>
      <c r="L775" s="197"/>
      <c r="M775" s="181"/>
    </row>
    <row r="776" spans="1:13" x14ac:dyDescent="0.2">
      <c r="A776" s="173"/>
      <c r="B776" s="174"/>
      <c r="C776" s="175"/>
      <c r="D776" s="245"/>
      <c r="E776" s="176"/>
      <c r="F776" s="176"/>
      <c r="G776" s="176"/>
      <c r="H776" s="250"/>
      <c r="I776" s="177" t="s">
        <v>1111</v>
      </c>
      <c r="J776" s="207" t="s">
        <v>599</v>
      </c>
      <c r="K776" s="196">
        <f>50000*20%</f>
        <v>10000</v>
      </c>
      <c r="L776" s="197"/>
      <c r="M776" s="181"/>
    </row>
    <row r="777" spans="1:13" x14ac:dyDescent="0.2">
      <c r="A777" s="185"/>
      <c r="B777" s="186"/>
      <c r="C777" s="187"/>
      <c r="D777" s="246"/>
      <c r="E777" s="188"/>
      <c r="F777" s="188"/>
      <c r="G777" s="188"/>
      <c r="H777" s="251"/>
      <c r="I777" s="202"/>
      <c r="J777" s="138"/>
      <c r="K777" s="247">
        <f>SUM(K774:K776)</f>
        <v>50000</v>
      </c>
      <c r="L777" s="205"/>
      <c r="M777" s="193"/>
    </row>
    <row r="778" spans="1:13" x14ac:dyDescent="0.2">
      <c r="A778" s="163">
        <v>181</v>
      </c>
      <c r="B778" s="164" t="s">
        <v>1112</v>
      </c>
      <c r="C778" s="165"/>
      <c r="D778" s="252" t="s">
        <v>107</v>
      </c>
      <c r="E778" s="166"/>
      <c r="F778" s="166"/>
      <c r="G778" s="166"/>
      <c r="H778" s="383"/>
      <c r="I778" s="217" t="s">
        <v>1113</v>
      </c>
      <c r="J778" s="223" t="s">
        <v>599</v>
      </c>
      <c r="K778" s="375">
        <f>200000*60%</f>
        <v>120000</v>
      </c>
      <c r="L778" s="195" t="s">
        <v>111</v>
      </c>
      <c r="M778" s="171" t="s">
        <v>1114</v>
      </c>
    </row>
    <row r="779" spans="1:13" x14ac:dyDescent="0.2">
      <c r="A779" s="173"/>
      <c r="B779" s="174"/>
      <c r="C779" s="175"/>
      <c r="D779" s="245"/>
      <c r="E779" s="176"/>
      <c r="F779" s="176"/>
      <c r="G779" s="176"/>
      <c r="H779" s="384"/>
      <c r="I779" s="167" t="s">
        <v>1115</v>
      </c>
      <c r="J779" s="138" t="s">
        <v>1116</v>
      </c>
      <c r="K779" s="214">
        <f>200000*20%</f>
        <v>40000</v>
      </c>
      <c r="L779" s="197"/>
      <c r="M779" s="181"/>
    </row>
    <row r="780" spans="1:13" x14ac:dyDescent="0.2">
      <c r="A780" s="173"/>
      <c r="B780" s="174"/>
      <c r="C780" s="175"/>
      <c r="D780" s="245"/>
      <c r="E780" s="176"/>
      <c r="F780" s="176"/>
      <c r="G780" s="176"/>
      <c r="H780" s="384"/>
      <c r="I780" s="184" t="s">
        <v>1117</v>
      </c>
      <c r="J780" s="207" t="s">
        <v>641</v>
      </c>
      <c r="K780" s="214">
        <f>200000*20%</f>
        <v>40000</v>
      </c>
      <c r="L780" s="197"/>
      <c r="M780" s="181"/>
    </row>
    <row r="781" spans="1:13" x14ac:dyDescent="0.2">
      <c r="A781" s="185"/>
      <c r="B781" s="186"/>
      <c r="C781" s="187"/>
      <c r="D781" s="246"/>
      <c r="E781" s="188"/>
      <c r="F781" s="188"/>
      <c r="G781" s="188"/>
      <c r="H781" s="385"/>
      <c r="I781" s="189"/>
      <c r="J781" s="381"/>
      <c r="K781" s="292">
        <f>SUM(K778:K780)</f>
        <v>200000</v>
      </c>
      <c r="L781" s="205"/>
      <c r="M781" s="193"/>
    </row>
    <row r="782" spans="1:13" x14ac:dyDescent="0.2">
      <c r="A782" s="163">
        <v>182</v>
      </c>
      <c r="B782" s="164" t="s">
        <v>1118</v>
      </c>
      <c r="C782" s="165"/>
      <c r="D782" s="252" t="s">
        <v>163</v>
      </c>
      <c r="E782" s="166"/>
      <c r="F782" s="166"/>
      <c r="G782" s="166"/>
      <c r="H782" s="248"/>
      <c r="I782" s="217" t="s">
        <v>1119</v>
      </c>
      <c r="J782" s="223" t="s">
        <v>599</v>
      </c>
      <c r="K782" s="375">
        <f>10000*50%</f>
        <v>5000</v>
      </c>
      <c r="L782" s="195" t="s">
        <v>325</v>
      </c>
      <c r="M782" s="171" t="s">
        <v>1120</v>
      </c>
    </row>
    <row r="783" spans="1:13" x14ac:dyDescent="0.2">
      <c r="A783" s="173"/>
      <c r="B783" s="174"/>
      <c r="C783" s="175"/>
      <c r="D783" s="245"/>
      <c r="E783" s="176"/>
      <c r="F783" s="176"/>
      <c r="G783" s="176"/>
      <c r="H783" s="250"/>
      <c r="I783" s="167" t="s">
        <v>1052</v>
      </c>
      <c r="J783" s="138" t="s">
        <v>599</v>
      </c>
      <c r="K783" s="196">
        <f>10000*25%</f>
        <v>2500</v>
      </c>
      <c r="L783" s="197"/>
      <c r="M783" s="181"/>
    </row>
    <row r="784" spans="1:13" x14ac:dyDescent="0.2">
      <c r="A784" s="173"/>
      <c r="B784" s="174"/>
      <c r="C784" s="175"/>
      <c r="D784" s="245"/>
      <c r="E784" s="176"/>
      <c r="F784" s="176"/>
      <c r="G784" s="176"/>
      <c r="H784" s="250"/>
      <c r="I784" s="177" t="s">
        <v>1121</v>
      </c>
      <c r="J784" s="226" t="s">
        <v>599</v>
      </c>
      <c r="K784" s="214">
        <f>10000*25%</f>
        <v>2500</v>
      </c>
      <c r="L784" s="197"/>
      <c r="M784" s="181"/>
    </row>
    <row r="785" spans="1:13" x14ac:dyDescent="0.2">
      <c r="A785" s="185"/>
      <c r="B785" s="186"/>
      <c r="C785" s="187"/>
      <c r="D785" s="246"/>
      <c r="E785" s="188"/>
      <c r="F785" s="188"/>
      <c r="G785" s="188"/>
      <c r="H785" s="251"/>
      <c r="I785" s="202"/>
      <c r="J785" s="203"/>
      <c r="K785" s="292">
        <f>SUM(K782:K784)</f>
        <v>10000</v>
      </c>
      <c r="L785" s="205"/>
      <c r="M785" s="193"/>
    </row>
    <row r="786" spans="1:13" x14ac:dyDescent="0.2">
      <c r="A786" s="163">
        <v>183</v>
      </c>
      <c r="B786" s="164" t="s">
        <v>1122</v>
      </c>
      <c r="C786" s="165"/>
      <c r="D786" s="252" t="s">
        <v>163</v>
      </c>
      <c r="E786" s="166"/>
      <c r="F786" s="166"/>
      <c r="G786" s="166"/>
      <c r="H786" s="248"/>
      <c r="I786" s="261" t="s">
        <v>1123</v>
      </c>
      <c r="J786" s="386" t="s">
        <v>599</v>
      </c>
      <c r="K786" s="268">
        <f>110000*50%</f>
        <v>55000</v>
      </c>
      <c r="L786" s="195" t="s">
        <v>325</v>
      </c>
      <c r="M786" s="171" t="s">
        <v>1124</v>
      </c>
    </row>
    <row r="787" spans="1:13" x14ac:dyDescent="0.2">
      <c r="A787" s="173"/>
      <c r="B787" s="174"/>
      <c r="C787" s="175"/>
      <c r="D787" s="245"/>
      <c r="E787" s="176"/>
      <c r="F787" s="176"/>
      <c r="G787" s="176"/>
      <c r="H787" s="250"/>
      <c r="I787" s="184" t="s">
        <v>1125</v>
      </c>
      <c r="J787" s="226" t="s">
        <v>599</v>
      </c>
      <c r="K787" s="382">
        <f>110000*25%</f>
        <v>27500</v>
      </c>
      <c r="L787" s="197"/>
      <c r="M787" s="181"/>
    </row>
    <row r="788" spans="1:13" x14ac:dyDescent="0.2">
      <c r="A788" s="173"/>
      <c r="B788" s="174"/>
      <c r="C788" s="175"/>
      <c r="D788" s="245"/>
      <c r="E788" s="176"/>
      <c r="F788" s="176"/>
      <c r="G788" s="176"/>
      <c r="H788" s="250"/>
      <c r="I788" s="177" t="s">
        <v>1126</v>
      </c>
      <c r="J788" s="226" t="s">
        <v>599</v>
      </c>
      <c r="K788" s="214">
        <f>110000*25%</f>
        <v>27500</v>
      </c>
      <c r="L788" s="197"/>
      <c r="M788" s="181"/>
    </row>
    <row r="789" spans="1:13" x14ac:dyDescent="0.2">
      <c r="A789" s="185"/>
      <c r="B789" s="186"/>
      <c r="C789" s="187"/>
      <c r="D789" s="246"/>
      <c r="E789" s="188"/>
      <c r="F789" s="188"/>
      <c r="G789" s="188"/>
      <c r="H789" s="251"/>
      <c r="I789" s="202"/>
      <c r="J789" s="203"/>
      <c r="K789" s="292">
        <f>SUM(K786:K788)</f>
        <v>110000</v>
      </c>
      <c r="L789" s="205"/>
      <c r="M789" s="193"/>
    </row>
    <row r="790" spans="1:13" x14ac:dyDescent="0.2">
      <c r="A790" s="163">
        <v>184</v>
      </c>
      <c r="B790" s="164" t="s">
        <v>1127</v>
      </c>
      <c r="C790" s="165"/>
      <c r="D790" s="252" t="s">
        <v>163</v>
      </c>
      <c r="E790" s="166"/>
      <c r="F790" s="166"/>
      <c r="G790" s="166"/>
      <c r="H790" s="248"/>
      <c r="I790" s="261" t="s">
        <v>1128</v>
      </c>
      <c r="J790" s="386" t="s">
        <v>599</v>
      </c>
      <c r="K790" s="375">
        <f>126100*70%</f>
        <v>88270</v>
      </c>
      <c r="L790" s="195" t="s">
        <v>325</v>
      </c>
      <c r="M790" s="171" t="s">
        <v>1129</v>
      </c>
    </row>
    <row r="791" spans="1:13" x14ac:dyDescent="0.2">
      <c r="A791" s="173"/>
      <c r="B791" s="174"/>
      <c r="C791" s="175"/>
      <c r="D791" s="245"/>
      <c r="E791" s="176"/>
      <c r="F791" s="176"/>
      <c r="G791" s="176"/>
      <c r="H791" s="250"/>
      <c r="I791" s="184" t="s">
        <v>1130</v>
      </c>
      <c r="J791" s="226" t="s">
        <v>599</v>
      </c>
      <c r="K791" s="214">
        <f>126100*10%</f>
        <v>12610</v>
      </c>
      <c r="L791" s="197"/>
      <c r="M791" s="181"/>
    </row>
    <row r="792" spans="1:13" x14ac:dyDescent="0.2">
      <c r="A792" s="173"/>
      <c r="B792" s="174"/>
      <c r="C792" s="175"/>
      <c r="D792" s="245"/>
      <c r="E792" s="176"/>
      <c r="F792" s="176"/>
      <c r="G792" s="176"/>
      <c r="H792" s="250"/>
      <c r="I792" s="167" t="s">
        <v>1131</v>
      </c>
      <c r="J792" s="226" t="s">
        <v>599</v>
      </c>
      <c r="K792" s="382">
        <f>126100*10%</f>
        <v>12610</v>
      </c>
      <c r="L792" s="197"/>
      <c r="M792" s="181"/>
    </row>
    <row r="793" spans="1:13" x14ac:dyDescent="0.2">
      <c r="A793" s="173"/>
      <c r="B793" s="174"/>
      <c r="C793" s="175"/>
      <c r="D793" s="245"/>
      <c r="E793" s="176"/>
      <c r="F793" s="176"/>
      <c r="G793" s="176"/>
      <c r="H793" s="250"/>
      <c r="I793" s="177" t="s">
        <v>1132</v>
      </c>
      <c r="J793" s="207" t="s">
        <v>599</v>
      </c>
      <c r="K793" s="214">
        <f>126100*10%</f>
        <v>12610</v>
      </c>
      <c r="L793" s="197"/>
      <c r="M793" s="181"/>
    </row>
    <row r="794" spans="1:13" x14ac:dyDescent="0.2">
      <c r="A794" s="185"/>
      <c r="B794" s="186"/>
      <c r="C794" s="187"/>
      <c r="D794" s="246"/>
      <c r="E794" s="188"/>
      <c r="F794" s="188"/>
      <c r="G794" s="188"/>
      <c r="H794" s="251"/>
      <c r="I794" s="202"/>
      <c r="J794" s="381"/>
      <c r="K794" s="292">
        <f>SUM(K790:K793)</f>
        <v>126100</v>
      </c>
      <c r="L794" s="205"/>
      <c r="M794" s="193"/>
    </row>
    <row r="795" spans="1:13" x14ac:dyDescent="0.2">
      <c r="A795" s="163">
        <v>185</v>
      </c>
      <c r="B795" s="164" t="s">
        <v>990</v>
      </c>
      <c r="C795" s="165"/>
      <c r="D795" s="252" t="s">
        <v>163</v>
      </c>
      <c r="E795" s="166"/>
      <c r="F795" s="166"/>
      <c r="G795" s="166"/>
      <c r="H795" s="248" t="s">
        <v>137</v>
      </c>
      <c r="I795" s="261" t="s">
        <v>1133</v>
      </c>
      <c r="J795" s="386" t="s">
        <v>599</v>
      </c>
      <c r="K795" s="375">
        <f>150000*50%</f>
        <v>75000</v>
      </c>
      <c r="L795" s="195" t="s">
        <v>325</v>
      </c>
      <c r="M795" s="171" t="s">
        <v>992</v>
      </c>
    </row>
    <row r="796" spans="1:13" x14ac:dyDescent="0.2">
      <c r="A796" s="173"/>
      <c r="B796" s="174"/>
      <c r="C796" s="175"/>
      <c r="D796" s="245"/>
      <c r="E796" s="176"/>
      <c r="F796" s="176"/>
      <c r="G796" s="176"/>
      <c r="H796" s="250"/>
      <c r="I796" s="177" t="s">
        <v>1134</v>
      </c>
      <c r="J796" s="207" t="s">
        <v>599</v>
      </c>
      <c r="K796" s="196">
        <f>150000*15%</f>
        <v>22500</v>
      </c>
      <c r="L796" s="197"/>
      <c r="M796" s="181"/>
    </row>
    <row r="797" spans="1:13" x14ac:dyDescent="0.2">
      <c r="A797" s="173"/>
      <c r="B797" s="174"/>
      <c r="C797" s="175"/>
      <c r="D797" s="245"/>
      <c r="E797" s="176"/>
      <c r="F797" s="176"/>
      <c r="G797" s="176"/>
      <c r="H797" s="250"/>
      <c r="I797" s="177" t="s">
        <v>994</v>
      </c>
      <c r="J797" s="138" t="s">
        <v>599</v>
      </c>
      <c r="K797" s="196">
        <f>150000*35%</f>
        <v>52500</v>
      </c>
      <c r="L797" s="197"/>
      <c r="M797" s="181"/>
    </row>
    <row r="798" spans="1:13" x14ac:dyDescent="0.2">
      <c r="A798" s="185"/>
      <c r="B798" s="186"/>
      <c r="C798" s="187"/>
      <c r="D798" s="246"/>
      <c r="E798" s="188"/>
      <c r="F798" s="188"/>
      <c r="G798" s="188"/>
      <c r="H798" s="251"/>
      <c r="I798" s="202"/>
      <c r="J798" s="203"/>
      <c r="K798" s="247">
        <f>SUM(K795:K797)</f>
        <v>150000</v>
      </c>
      <c r="L798" s="205"/>
      <c r="M798" s="193"/>
    </row>
    <row r="799" spans="1:13" x14ac:dyDescent="0.2">
      <c r="A799" s="163">
        <v>186</v>
      </c>
      <c r="B799" s="164" t="s">
        <v>1135</v>
      </c>
      <c r="C799" s="165"/>
      <c r="D799" s="252" t="s">
        <v>163</v>
      </c>
      <c r="E799" s="166"/>
      <c r="F799" s="166"/>
      <c r="G799" s="166"/>
      <c r="H799" s="248"/>
      <c r="I799" s="217" t="s">
        <v>1136</v>
      </c>
      <c r="J799" s="386" t="s">
        <v>599</v>
      </c>
      <c r="K799" s="375">
        <f>63980*80%</f>
        <v>51184</v>
      </c>
      <c r="L799" s="195" t="s">
        <v>325</v>
      </c>
      <c r="M799" s="171" t="s">
        <v>1137</v>
      </c>
    </row>
    <row r="800" spans="1:13" x14ac:dyDescent="0.2">
      <c r="A800" s="173"/>
      <c r="B800" s="174"/>
      <c r="C800" s="175"/>
      <c r="D800" s="245"/>
      <c r="E800" s="176"/>
      <c r="F800" s="176"/>
      <c r="G800" s="176"/>
      <c r="H800" s="250"/>
      <c r="I800" s="167" t="s">
        <v>1138</v>
      </c>
      <c r="J800" s="207" t="s">
        <v>599</v>
      </c>
      <c r="K800" s="196">
        <f>63980*10%</f>
        <v>6398</v>
      </c>
      <c r="L800" s="197"/>
      <c r="M800" s="181"/>
    </row>
    <row r="801" spans="1:13" x14ac:dyDescent="0.2">
      <c r="A801" s="173"/>
      <c r="B801" s="174"/>
      <c r="C801" s="175"/>
      <c r="D801" s="245"/>
      <c r="E801" s="176"/>
      <c r="F801" s="176"/>
      <c r="G801" s="176"/>
      <c r="H801" s="250"/>
      <c r="I801" s="177" t="s">
        <v>913</v>
      </c>
      <c r="J801" s="207" t="s">
        <v>599</v>
      </c>
      <c r="K801" s="196">
        <f>63980*10%</f>
        <v>6398</v>
      </c>
      <c r="L801" s="197"/>
      <c r="M801" s="181"/>
    </row>
    <row r="802" spans="1:13" x14ac:dyDescent="0.2">
      <c r="A802" s="185"/>
      <c r="B802" s="186"/>
      <c r="C802" s="187"/>
      <c r="D802" s="246"/>
      <c r="E802" s="188"/>
      <c r="F802" s="188"/>
      <c r="G802" s="188"/>
      <c r="H802" s="251"/>
      <c r="I802" s="202"/>
      <c r="J802" s="381"/>
      <c r="K802" s="247">
        <f>SUM(K799:K801)</f>
        <v>63980</v>
      </c>
      <c r="L802" s="205"/>
      <c r="M802" s="193"/>
    </row>
    <row r="803" spans="1:13" x14ac:dyDescent="0.2">
      <c r="A803" s="163">
        <v>187</v>
      </c>
      <c r="B803" s="164" t="s">
        <v>1139</v>
      </c>
      <c r="C803" s="165"/>
      <c r="D803" s="252" t="s">
        <v>163</v>
      </c>
      <c r="E803" s="166"/>
      <c r="F803" s="166"/>
      <c r="G803" s="166"/>
      <c r="H803" s="248"/>
      <c r="I803" s="217" t="s">
        <v>1140</v>
      </c>
      <c r="J803" s="223" t="s">
        <v>599</v>
      </c>
      <c r="K803" s="375">
        <f>64900*70%</f>
        <v>45430</v>
      </c>
      <c r="L803" s="195" t="s">
        <v>325</v>
      </c>
      <c r="M803" s="171" t="s">
        <v>1141</v>
      </c>
    </row>
    <row r="804" spans="1:13" x14ac:dyDescent="0.2">
      <c r="A804" s="173"/>
      <c r="B804" s="174"/>
      <c r="C804" s="175"/>
      <c r="D804" s="245"/>
      <c r="E804" s="176"/>
      <c r="F804" s="176"/>
      <c r="G804" s="176"/>
      <c r="H804" s="250"/>
      <c r="I804" s="184" t="s">
        <v>1142</v>
      </c>
      <c r="J804" s="249" t="s">
        <v>599</v>
      </c>
      <c r="K804" s="196">
        <f>64900*20%</f>
        <v>12980</v>
      </c>
      <c r="L804" s="197"/>
      <c r="M804" s="181"/>
    </row>
    <row r="805" spans="1:13" x14ac:dyDescent="0.2">
      <c r="A805" s="173"/>
      <c r="B805" s="174"/>
      <c r="C805" s="175"/>
      <c r="D805" s="245"/>
      <c r="E805" s="176"/>
      <c r="F805" s="176"/>
      <c r="G805" s="176"/>
      <c r="H805" s="250"/>
      <c r="I805" s="276" t="s">
        <v>977</v>
      </c>
      <c r="J805" s="138" t="s">
        <v>599</v>
      </c>
      <c r="K805" s="214">
        <f>64900*5%</f>
        <v>3245</v>
      </c>
      <c r="L805" s="197"/>
      <c r="M805" s="181"/>
    </row>
    <row r="806" spans="1:13" x14ac:dyDescent="0.2">
      <c r="A806" s="173"/>
      <c r="B806" s="174"/>
      <c r="C806" s="175"/>
      <c r="D806" s="245"/>
      <c r="E806" s="176"/>
      <c r="F806" s="176"/>
      <c r="G806" s="176"/>
      <c r="H806" s="250"/>
      <c r="I806" s="184" t="s">
        <v>1143</v>
      </c>
      <c r="J806" s="207" t="s">
        <v>599</v>
      </c>
      <c r="K806" s="214">
        <f>64900*5%</f>
        <v>3245</v>
      </c>
      <c r="L806" s="197"/>
      <c r="M806" s="181"/>
    </row>
    <row r="807" spans="1:13" x14ac:dyDescent="0.2">
      <c r="A807" s="185"/>
      <c r="B807" s="186"/>
      <c r="C807" s="187"/>
      <c r="D807" s="246"/>
      <c r="E807" s="188"/>
      <c r="F807" s="188"/>
      <c r="G807" s="188"/>
      <c r="H807" s="251"/>
      <c r="I807" s="189"/>
      <c r="J807" s="203"/>
      <c r="K807" s="292">
        <f>SUM(K803:K806)</f>
        <v>64900</v>
      </c>
      <c r="L807" s="205"/>
      <c r="M807" s="193"/>
    </row>
    <row r="808" spans="1:13" ht="24.75" customHeight="1" x14ac:dyDescent="0.2">
      <c r="A808" s="163">
        <v>188</v>
      </c>
      <c r="B808" s="164" t="s">
        <v>1144</v>
      </c>
      <c r="C808" s="165"/>
      <c r="D808" s="252" t="s">
        <v>25</v>
      </c>
      <c r="E808" s="166"/>
      <c r="F808" s="166"/>
      <c r="G808" s="166" t="s">
        <v>1145</v>
      </c>
      <c r="H808" s="166" t="s">
        <v>1146</v>
      </c>
      <c r="I808" s="167" t="s">
        <v>1147</v>
      </c>
      <c r="J808" s="249" t="s">
        <v>599</v>
      </c>
      <c r="K808" s="375">
        <f>2435000*25%</f>
        <v>608750</v>
      </c>
      <c r="L808" s="387" t="s">
        <v>1145</v>
      </c>
      <c r="M808" s="387" t="s">
        <v>1148</v>
      </c>
    </row>
    <row r="809" spans="1:13" x14ac:dyDescent="0.2">
      <c r="A809" s="173"/>
      <c r="B809" s="174"/>
      <c r="C809" s="175"/>
      <c r="D809" s="245"/>
      <c r="E809" s="176"/>
      <c r="F809" s="176"/>
      <c r="G809" s="176"/>
      <c r="H809" s="176"/>
      <c r="I809" s="177" t="s">
        <v>1149</v>
      </c>
      <c r="J809" s="226" t="s">
        <v>599</v>
      </c>
      <c r="K809" s="214">
        <f t="shared" ref="K809:K811" si="14">2435000*25%</f>
        <v>608750</v>
      </c>
      <c r="L809" s="387"/>
      <c r="M809" s="387"/>
    </row>
    <row r="810" spans="1:13" x14ac:dyDescent="0.2">
      <c r="A810" s="173"/>
      <c r="B810" s="174"/>
      <c r="C810" s="175"/>
      <c r="D810" s="245"/>
      <c r="E810" s="176"/>
      <c r="F810" s="176"/>
      <c r="G810" s="176"/>
      <c r="H810" s="176"/>
      <c r="I810" s="177" t="s">
        <v>1150</v>
      </c>
      <c r="J810" s="226" t="s">
        <v>599</v>
      </c>
      <c r="K810" s="382">
        <f t="shared" si="14"/>
        <v>608750</v>
      </c>
      <c r="L810" s="387"/>
      <c r="M810" s="387"/>
    </row>
    <row r="811" spans="1:13" x14ac:dyDescent="0.2">
      <c r="A811" s="173"/>
      <c r="B811" s="174"/>
      <c r="C811" s="175"/>
      <c r="D811" s="245"/>
      <c r="E811" s="176"/>
      <c r="F811" s="176"/>
      <c r="G811" s="176"/>
      <c r="H811" s="176"/>
      <c r="I811" s="177" t="s">
        <v>1151</v>
      </c>
      <c r="J811" s="207" t="s">
        <v>599</v>
      </c>
      <c r="K811" s="214">
        <f t="shared" si="14"/>
        <v>608750</v>
      </c>
      <c r="L811" s="387"/>
      <c r="M811" s="387"/>
    </row>
    <row r="812" spans="1:13" ht="26.25" customHeight="1" x14ac:dyDescent="0.2">
      <c r="A812" s="185"/>
      <c r="B812" s="186"/>
      <c r="C812" s="187"/>
      <c r="D812" s="246"/>
      <c r="E812" s="188"/>
      <c r="F812" s="188"/>
      <c r="G812" s="188"/>
      <c r="H812" s="188"/>
      <c r="I812" s="202"/>
      <c r="J812" s="381"/>
      <c r="K812" s="247">
        <f>SUM(K808:K811)</f>
        <v>2435000</v>
      </c>
      <c r="L812" s="387"/>
      <c r="M812" s="387"/>
    </row>
    <row r="813" spans="1:13" ht="21.75" customHeight="1" x14ac:dyDescent="0.2">
      <c r="A813" s="163">
        <v>189</v>
      </c>
      <c r="B813" s="164" t="s">
        <v>1152</v>
      </c>
      <c r="C813" s="165"/>
      <c r="D813" s="252" t="s">
        <v>25</v>
      </c>
      <c r="E813" s="166"/>
      <c r="F813" s="166"/>
      <c r="G813" s="166" t="s">
        <v>1153</v>
      </c>
      <c r="H813" s="166" t="s">
        <v>769</v>
      </c>
      <c r="I813" s="261" t="s">
        <v>1154</v>
      </c>
      <c r="J813" s="223" t="s">
        <v>599</v>
      </c>
      <c r="K813" s="375">
        <f>500000*45%</f>
        <v>225000</v>
      </c>
      <c r="L813" s="171" t="s">
        <v>1153</v>
      </c>
      <c r="M813" s="171" t="s">
        <v>1155</v>
      </c>
    </row>
    <row r="814" spans="1:13" ht="21.75" customHeight="1" x14ac:dyDescent="0.2">
      <c r="A814" s="173"/>
      <c r="B814" s="174"/>
      <c r="C814" s="175"/>
      <c r="D814" s="245"/>
      <c r="E814" s="176"/>
      <c r="F814" s="176"/>
      <c r="G814" s="176"/>
      <c r="H814" s="176"/>
      <c r="I814" s="177" t="s">
        <v>1110</v>
      </c>
      <c r="J814" s="207" t="s">
        <v>599</v>
      </c>
      <c r="K814" s="214">
        <f>500000*20%</f>
        <v>100000</v>
      </c>
      <c r="L814" s="181"/>
      <c r="M814" s="181"/>
    </row>
    <row r="815" spans="1:13" ht="21.75" customHeight="1" x14ac:dyDescent="0.2">
      <c r="A815" s="173"/>
      <c r="B815" s="174"/>
      <c r="C815" s="175"/>
      <c r="D815" s="245"/>
      <c r="E815" s="176"/>
      <c r="F815" s="176"/>
      <c r="G815" s="176"/>
      <c r="H815" s="176"/>
      <c r="I815" s="177" t="s">
        <v>1111</v>
      </c>
      <c r="J815" s="207" t="s">
        <v>599</v>
      </c>
      <c r="K815" s="382">
        <f>500000*20%</f>
        <v>100000</v>
      </c>
      <c r="L815" s="181"/>
      <c r="M815" s="181"/>
    </row>
    <row r="816" spans="1:13" ht="21.75" customHeight="1" x14ac:dyDescent="0.2">
      <c r="A816" s="173"/>
      <c r="B816" s="174"/>
      <c r="C816" s="175"/>
      <c r="D816" s="245"/>
      <c r="E816" s="176"/>
      <c r="F816" s="176"/>
      <c r="G816" s="176"/>
      <c r="H816" s="176"/>
      <c r="I816" s="184" t="s">
        <v>1156</v>
      </c>
      <c r="J816" s="168" t="s">
        <v>599</v>
      </c>
      <c r="K816" s="214">
        <f>500000*15%</f>
        <v>75000</v>
      </c>
      <c r="L816" s="181"/>
      <c r="M816" s="181"/>
    </row>
    <row r="817" spans="1:67" ht="21.75" customHeight="1" x14ac:dyDescent="0.2">
      <c r="A817" s="185"/>
      <c r="B817" s="186"/>
      <c r="C817" s="187"/>
      <c r="D817" s="246"/>
      <c r="E817" s="188"/>
      <c r="F817" s="188"/>
      <c r="G817" s="188"/>
      <c r="H817" s="188"/>
      <c r="I817" s="202"/>
      <c r="J817" s="203"/>
      <c r="K817" s="292">
        <f>SUM(K813:K816)</f>
        <v>500000</v>
      </c>
      <c r="L817" s="193"/>
      <c r="M817" s="193"/>
    </row>
    <row r="818" spans="1:67" ht="22.5" customHeight="1" x14ac:dyDescent="0.2">
      <c r="A818" s="163">
        <v>190</v>
      </c>
      <c r="B818" s="164" t="s">
        <v>1157</v>
      </c>
      <c r="C818" s="165"/>
      <c r="D818" s="252" t="s">
        <v>25</v>
      </c>
      <c r="E818" s="166"/>
      <c r="F818" s="166"/>
      <c r="G818" s="166" t="s">
        <v>1153</v>
      </c>
      <c r="H818" s="166" t="s">
        <v>769</v>
      </c>
      <c r="I818" s="167" t="s">
        <v>1158</v>
      </c>
      <c r="J818" s="353" t="s">
        <v>599</v>
      </c>
      <c r="K818" s="375">
        <f>500000*50%</f>
        <v>250000</v>
      </c>
      <c r="L818" s="171" t="s">
        <v>1153</v>
      </c>
      <c r="M818" s="171" t="s">
        <v>1159</v>
      </c>
    </row>
    <row r="819" spans="1:67" ht="22.5" customHeight="1" x14ac:dyDescent="0.2">
      <c r="A819" s="173"/>
      <c r="B819" s="174"/>
      <c r="C819" s="175"/>
      <c r="D819" s="245"/>
      <c r="E819" s="176"/>
      <c r="F819" s="176"/>
      <c r="G819" s="176"/>
      <c r="H819" s="176"/>
      <c r="I819" s="184" t="s">
        <v>1160</v>
      </c>
      <c r="J819" s="226" t="s">
        <v>599</v>
      </c>
      <c r="K819" s="214">
        <f>500000*30%</f>
        <v>150000</v>
      </c>
      <c r="L819" s="181"/>
      <c r="M819" s="181"/>
    </row>
    <row r="820" spans="1:67" ht="22.5" customHeight="1" x14ac:dyDescent="0.2">
      <c r="A820" s="173"/>
      <c r="B820" s="174"/>
      <c r="C820" s="175"/>
      <c r="D820" s="245"/>
      <c r="E820" s="176"/>
      <c r="F820" s="176"/>
      <c r="G820" s="176"/>
      <c r="H820" s="176"/>
      <c r="I820" s="184" t="s">
        <v>1161</v>
      </c>
      <c r="J820" s="226" t="s">
        <v>599</v>
      </c>
      <c r="K820" s="214">
        <f>500000*10%</f>
        <v>50000</v>
      </c>
      <c r="L820" s="181"/>
      <c r="M820" s="181"/>
    </row>
    <row r="821" spans="1:67" ht="22.5" customHeight="1" x14ac:dyDescent="0.2">
      <c r="A821" s="173"/>
      <c r="B821" s="174"/>
      <c r="C821" s="175"/>
      <c r="D821" s="245"/>
      <c r="E821" s="176"/>
      <c r="F821" s="176"/>
      <c r="G821" s="176"/>
      <c r="H821" s="176"/>
      <c r="I821" s="167" t="s">
        <v>1162</v>
      </c>
      <c r="J821" s="226" t="s">
        <v>599</v>
      </c>
      <c r="K821" s="382">
        <f>500000*10%</f>
        <v>50000</v>
      </c>
      <c r="L821" s="181"/>
      <c r="M821" s="181"/>
    </row>
    <row r="822" spans="1:67" ht="22.5" customHeight="1" x14ac:dyDescent="0.2">
      <c r="A822" s="185"/>
      <c r="B822" s="186"/>
      <c r="C822" s="187"/>
      <c r="D822" s="246"/>
      <c r="E822" s="188"/>
      <c r="F822" s="188"/>
      <c r="G822" s="188"/>
      <c r="H822" s="188"/>
      <c r="I822" s="202"/>
      <c r="J822" s="203"/>
      <c r="K822" s="196">
        <f>SUM(K818:K821)</f>
        <v>500000</v>
      </c>
      <c r="L822" s="181"/>
      <c r="M822" s="181"/>
    </row>
    <row r="823" spans="1:67" ht="22.5" customHeight="1" x14ac:dyDescent="0.2">
      <c r="A823" s="163">
        <v>191</v>
      </c>
      <c r="B823" s="164" t="s">
        <v>1163</v>
      </c>
      <c r="C823" s="165"/>
      <c r="D823" s="252" t="s">
        <v>25</v>
      </c>
      <c r="E823" s="166"/>
      <c r="F823" s="166"/>
      <c r="G823" s="166" t="s">
        <v>1153</v>
      </c>
      <c r="H823" s="166" t="s">
        <v>769</v>
      </c>
      <c r="I823" s="261" t="s">
        <v>1164</v>
      </c>
      <c r="J823" s="353" t="s">
        <v>599</v>
      </c>
      <c r="K823" s="388">
        <f>500000*25%</f>
        <v>125000</v>
      </c>
      <c r="L823" s="389" t="s">
        <v>1153</v>
      </c>
      <c r="M823" s="390" t="s">
        <v>1165</v>
      </c>
    </row>
    <row r="824" spans="1:67" ht="22.5" customHeight="1" x14ac:dyDescent="0.2">
      <c r="A824" s="173"/>
      <c r="B824" s="174"/>
      <c r="C824" s="175"/>
      <c r="D824" s="245"/>
      <c r="E824" s="176"/>
      <c r="F824" s="176"/>
      <c r="G824" s="176"/>
      <c r="H824" s="176"/>
      <c r="I824" s="177" t="s">
        <v>1166</v>
      </c>
      <c r="J824" s="226" t="s">
        <v>599</v>
      </c>
      <c r="K824" s="391">
        <f>500000*25%</f>
        <v>125000</v>
      </c>
      <c r="L824" s="392"/>
      <c r="M824" s="390"/>
    </row>
    <row r="825" spans="1:67" ht="22.5" customHeight="1" x14ac:dyDescent="0.2">
      <c r="A825" s="173"/>
      <c r="B825" s="174"/>
      <c r="C825" s="175"/>
      <c r="D825" s="245"/>
      <c r="E825" s="176"/>
      <c r="F825" s="176"/>
      <c r="G825" s="176"/>
      <c r="H825" s="176"/>
      <c r="I825" s="184" t="s">
        <v>1167</v>
      </c>
      <c r="J825" s="226" t="s">
        <v>599</v>
      </c>
      <c r="K825" s="391">
        <f>500000*25%</f>
        <v>125000</v>
      </c>
      <c r="L825" s="392"/>
      <c r="M825" s="390"/>
    </row>
    <row r="826" spans="1:67" ht="22.5" customHeight="1" x14ac:dyDescent="0.2">
      <c r="A826" s="173"/>
      <c r="B826" s="174"/>
      <c r="C826" s="175"/>
      <c r="D826" s="245"/>
      <c r="E826" s="176"/>
      <c r="F826" s="176"/>
      <c r="G826" s="176"/>
      <c r="H826" s="176"/>
      <c r="I826" s="276" t="s">
        <v>1168</v>
      </c>
      <c r="J826" s="226" t="s">
        <v>599</v>
      </c>
      <c r="K826" s="391">
        <f>500000*15%</f>
        <v>75000</v>
      </c>
      <c r="L826" s="392"/>
      <c r="M826" s="390"/>
    </row>
    <row r="827" spans="1:67" ht="22.5" customHeight="1" x14ac:dyDescent="0.2">
      <c r="A827" s="173"/>
      <c r="B827" s="174"/>
      <c r="C827" s="175"/>
      <c r="D827" s="245"/>
      <c r="E827" s="176"/>
      <c r="F827" s="176"/>
      <c r="G827" s="176"/>
      <c r="H827" s="176"/>
      <c r="I827" s="167" t="s">
        <v>1169</v>
      </c>
      <c r="J827" s="226" t="s">
        <v>599</v>
      </c>
      <c r="K827" s="391">
        <f>500000*10%</f>
        <v>50000</v>
      </c>
      <c r="L827" s="392"/>
      <c r="M827" s="390"/>
    </row>
    <row r="828" spans="1:67" ht="22.5" customHeight="1" x14ac:dyDescent="0.2">
      <c r="A828" s="185"/>
      <c r="B828" s="186"/>
      <c r="C828" s="187"/>
      <c r="D828" s="246"/>
      <c r="E828" s="188"/>
      <c r="F828" s="188"/>
      <c r="G828" s="188"/>
      <c r="H828" s="188"/>
      <c r="I828" s="202"/>
      <c r="J828" s="203"/>
      <c r="K828" s="393">
        <f>SUM(K823:K827)</f>
        <v>500000</v>
      </c>
      <c r="L828" s="394"/>
      <c r="M828" s="390"/>
    </row>
    <row r="829" spans="1:67" s="269" customFormat="1" ht="75" customHeight="1" x14ac:dyDescent="0.2">
      <c r="A829" s="254">
        <v>192</v>
      </c>
      <c r="B829" s="310" t="s">
        <v>1170</v>
      </c>
      <c r="C829" s="311"/>
      <c r="D829" s="308" t="s">
        <v>107</v>
      </c>
      <c r="E829" s="308"/>
      <c r="F829" s="308"/>
      <c r="G829" s="308"/>
      <c r="H829" s="331"/>
      <c r="I829" s="282" t="s">
        <v>1171</v>
      </c>
      <c r="J829" s="283" t="s">
        <v>599</v>
      </c>
      <c r="K829" s="284">
        <v>10000</v>
      </c>
      <c r="L829" s="306" t="s">
        <v>111</v>
      </c>
      <c r="M829" s="261" t="s">
        <v>1172</v>
      </c>
      <c r="N829" s="132"/>
      <c r="O829" s="132"/>
      <c r="P829" s="132"/>
      <c r="Q829" s="132"/>
      <c r="R829" s="132"/>
      <c r="S829" s="132"/>
      <c r="T829" s="132"/>
      <c r="U829" s="132"/>
      <c r="V829" s="132"/>
      <c r="W829" s="132"/>
      <c r="X829" s="132"/>
      <c r="Y829" s="132"/>
      <c r="Z829" s="132"/>
      <c r="AA829" s="132"/>
      <c r="AB829" s="132"/>
      <c r="AC829" s="132"/>
      <c r="AD829" s="132"/>
      <c r="AE829" s="132"/>
      <c r="AF829" s="132"/>
      <c r="AG829" s="132"/>
      <c r="AH829" s="132"/>
      <c r="AI829" s="132"/>
      <c r="AJ829" s="132"/>
      <c r="AK829" s="132"/>
      <c r="AL829" s="132"/>
      <c r="AM829" s="132"/>
      <c r="AN829" s="132"/>
      <c r="AO829" s="132"/>
      <c r="AP829" s="132"/>
      <c r="AQ829" s="132"/>
      <c r="AR829" s="132"/>
      <c r="AS829" s="132"/>
      <c r="AT829" s="132"/>
      <c r="AU829" s="132"/>
      <c r="AV829" s="132"/>
      <c r="AW829" s="132"/>
      <c r="AX829" s="132"/>
      <c r="AY829" s="132"/>
      <c r="AZ829" s="132"/>
      <c r="BA829" s="132"/>
      <c r="BB829" s="132"/>
      <c r="BC829" s="132"/>
      <c r="BD829" s="132"/>
      <c r="BE829" s="132"/>
      <c r="BF829" s="132"/>
      <c r="BG829" s="132"/>
      <c r="BH829" s="132"/>
      <c r="BI829" s="132"/>
      <c r="BJ829" s="132"/>
      <c r="BK829" s="132"/>
      <c r="BL829" s="132"/>
      <c r="BM829" s="132"/>
      <c r="BN829" s="132"/>
      <c r="BO829" s="132"/>
    </row>
    <row r="830" spans="1:67" s="269" customFormat="1" ht="67.5" customHeight="1" x14ac:dyDescent="0.2">
      <c r="A830" s="254">
        <v>193</v>
      </c>
      <c r="B830" s="310" t="s">
        <v>1173</v>
      </c>
      <c r="C830" s="311"/>
      <c r="D830" s="308" t="s">
        <v>107</v>
      </c>
      <c r="E830" s="308"/>
      <c r="F830" s="308"/>
      <c r="G830" s="308"/>
      <c r="H830" s="308"/>
      <c r="I830" s="282" t="s">
        <v>1174</v>
      </c>
      <c r="J830" s="283" t="s">
        <v>599</v>
      </c>
      <c r="K830" s="284">
        <v>10000</v>
      </c>
      <c r="L830" s="306" t="s">
        <v>111</v>
      </c>
      <c r="M830" s="261" t="s">
        <v>1175</v>
      </c>
      <c r="N830" s="132"/>
      <c r="O830" s="132"/>
      <c r="P830" s="132"/>
      <c r="Q830" s="132"/>
      <c r="R830" s="132"/>
      <c r="S830" s="132"/>
      <c r="T830" s="132"/>
      <c r="U830" s="132"/>
      <c r="V830" s="132"/>
      <c r="W830" s="132"/>
      <c r="X830" s="132"/>
      <c r="Y830" s="132"/>
      <c r="Z830" s="132"/>
      <c r="AA830" s="132"/>
      <c r="AB830" s="132"/>
      <c r="AC830" s="132"/>
      <c r="AD830" s="132"/>
      <c r="AE830" s="132"/>
      <c r="AF830" s="132"/>
      <c r="AG830" s="132"/>
      <c r="AH830" s="132"/>
      <c r="AI830" s="132"/>
      <c r="AJ830" s="132"/>
      <c r="AK830" s="132"/>
      <c r="AL830" s="132"/>
      <c r="AM830" s="132"/>
      <c r="AN830" s="132"/>
      <c r="AO830" s="132"/>
      <c r="AP830" s="132"/>
      <c r="AQ830" s="132"/>
      <c r="AR830" s="132"/>
      <c r="AS830" s="132"/>
      <c r="AT830" s="132"/>
      <c r="AU830" s="132"/>
      <c r="AV830" s="132"/>
      <c r="AW830" s="132"/>
      <c r="AX830" s="132"/>
      <c r="AY830" s="132"/>
      <c r="AZ830" s="132"/>
      <c r="BA830" s="132"/>
      <c r="BB830" s="132"/>
      <c r="BC830" s="132"/>
      <c r="BD830" s="132"/>
      <c r="BE830" s="132"/>
      <c r="BF830" s="132"/>
      <c r="BG830" s="132"/>
      <c r="BH830" s="132"/>
      <c r="BI830" s="132"/>
      <c r="BJ830" s="132"/>
      <c r="BK830" s="132"/>
      <c r="BL830" s="132"/>
      <c r="BM830" s="132"/>
      <c r="BN830" s="132"/>
      <c r="BO830" s="132"/>
    </row>
    <row r="831" spans="1:67" s="269" customFormat="1" ht="68.25" customHeight="1" x14ac:dyDescent="0.2">
      <c r="A831" s="254">
        <v>194</v>
      </c>
      <c r="B831" s="310" t="s">
        <v>1176</v>
      </c>
      <c r="C831" s="311"/>
      <c r="D831" s="308" t="s">
        <v>107</v>
      </c>
      <c r="E831" s="308"/>
      <c r="F831" s="308"/>
      <c r="G831" s="308"/>
      <c r="H831" s="308"/>
      <c r="I831" s="282" t="s">
        <v>1177</v>
      </c>
      <c r="J831" s="283" t="s">
        <v>599</v>
      </c>
      <c r="K831" s="284">
        <v>100000</v>
      </c>
      <c r="L831" s="306" t="s">
        <v>111</v>
      </c>
      <c r="M831" s="261" t="s">
        <v>1178</v>
      </c>
      <c r="N831" s="132"/>
      <c r="O831" s="132"/>
      <c r="P831" s="132"/>
      <c r="Q831" s="132"/>
      <c r="R831" s="132"/>
      <c r="S831" s="132"/>
      <c r="T831" s="132"/>
      <c r="U831" s="132"/>
      <c r="V831" s="132"/>
      <c r="W831" s="132"/>
      <c r="X831" s="132"/>
      <c r="Y831" s="132"/>
      <c r="Z831" s="132"/>
      <c r="AA831" s="132"/>
      <c r="AB831" s="132"/>
      <c r="AC831" s="132"/>
      <c r="AD831" s="132"/>
      <c r="AE831" s="132"/>
      <c r="AF831" s="132"/>
      <c r="AG831" s="132"/>
      <c r="AH831" s="132"/>
      <c r="AI831" s="132"/>
      <c r="AJ831" s="132"/>
      <c r="AK831" s="132"/>
      <c r="AL831" s="132"/>
      <c r="AM831" s="132"/>
      <c r="AN831" s="132"/>
      <c r="AO831" s="132"/>
      <c r="AP831" s="132"/>
      <c r="AQ831" s="132"/>
      <c r="AR831" s="132"/>
      <c r="AS831" s="132"/>
      <c r="AT831" s="132"/>
      <c r="AU831" s="132"/>
      <c r="AV831" s="132"/>
      <c r="AW831" s="132"/>
      <c r="AX831" s="132"/>
      <c r="AY831" s="132"/>
      <c r="AZ831" s="132"/>
      <c r="BA831" s="132"/>
      <c r="BB831" s="132"/>
      <c r="BC831" s="132"/>
      <c r="BD831" s="132"/>
      <c r="BE831" s="132"/>
      <c r="BF831" s="132"/>
      <c r="BG831" s="132"/>
      <c r="BH831" s="132"/>
      <c r="BI831" s="132"/>
      <c r="BJ831" s="132"/>
      <c r="BK831" s="132"/>
      <c r="BL831" s="132"/>
      <c r="BM831" s="132"/>
      <c r="BN831" s="132"/>
      <c r="BO831" s="132"/>
    </row>
    <row r="832" spans="1:67" s="269" customFormat="1" ht="71.25" customHeight="1" x14ac:dyDescent="0.2">
      <c r="A832" s="254">
        <v>195</v>
      </c>
      <c r="B832" s="310" t="s">
        <v>1179</v>
      </c>
      <c r="C832" s="311"/>
      <c r="D832" s="308" t="s">
        <v>107</v>
      </c>
      <c r="E832" s="308"/>
      <c r="F832" s="308"/>
      <c r="G832" s="308"/>
      <c r="H832" s="336"/>
      <c r="I832" s="282" t="s">
        <v>1180</v>
      </c>
      <c r="J832" s="283" t="s">
        <v>599</v>
      </c>
      <c r="K832" s="284">
        <v>25000</v>
      </c>
      <c r="L832" s="306" t="s">
        <v>111</v>
      </c>
      <c r="M832" s="261" t="s">
        <v>1181</v>
      </c>
      <c r="N832" s="132"/>
      <c r="O832" s="132"/>
      <c r="P832" s="132"/>
      <c r="Q832" s="132"/>
      <c r="R832" s="132"/>
      <c r="S832" s="132"/>
      <c r="T832" s="132"/>
      <c r="U832" s="132"/>
      <c r="V832" s="132"/>
      <c r="W832" s="132"/>
      <c r="X832" s="132"/>
      <c r="Y832" s="132"/>
      <c r="Z832" s="132"/>
      <c r="AA832" s="132"/>
      <c r="AB832" s="132"/>
      <c r="AC832" s="132"/>
      <c r="AD832" s="132"/>
      <c r="AE832" s="132"/>
      <c r="AF832" s="132"/>
      <c r="AG832" s="132"/>
      <c r="AH832" s="132"/>
      <c r="AI832" s="132"/>
      <c r="AJ832" s="132"/>
      <c r="AK832" s="132"/>
      <c r="AL832" s="132"/>
      <c r="AM832" s="132"/>
      <c r="AN832" s="132"/>
      <c r="AO832" s="132"/>
      <c r="AP832" s="132"/>
      <c r="AQ832" s="132"/>
      <c r="AR832" s="132"/>
      <c r="AS832" s="132"/>
      <c r="AT832" s="132"/>
      <c r="AU832" s="132"/>
      <c r="AV832" s="132"/>
      <c r="AW832" s="132"/>
      <c r="AX832" s="132"/>
      <c r="AY832" s="132"/>
      <c r="AZ832" s="132"/>
      <c r="BA832" s="132"/>
      <c r="BB832" s="132"/>
      <c r="BC832" s="132"/>
      <c r="BD832" s="132"/>
      <c r="BE832" s="132"/>
      <c r="BF832" s="132"/>
      <c r="BG832" s="132"/>
      <c r="BH832" s="132"/>
      <c r="BI832" s="132"/>
      <c r="BJ832" s="132"/>
      <c r="BK832" s="132"/>
      <c r="BL832" s="132"/>
      <c r="BM832" s="132"/>
      <c r="BN832" s="132"/>
      <c r="BO832" s="132"/>
    </row>
    <row r="833" spans="1:54" s="269" customFormat="1" ht="71.25" customHeight="1" x14ac:dyDescent="0.2">
      <c r="A833" s="254">
        <v>196</v>
      </c>
      <c r="B833" s="255" t="s">
        <v>1182</v>
      </c>
      <c r="C833" s="256"/>
      <c r="D833" s="336" t="s">
        <v>107</v>
      </c>
      <c r="E833" s="336"/>
      <c r="F833" s="336"/>
      <c r="G833" s="336"/>
      <c r="H833" s="336"/>
      <c r="I833" s="189" t="s">
        <v>1180</v>
      </c>
      <c r="J833" s="215" t="s">
        <v>599</v>
      </c>
      <c r="K833" s="395" t="s">
        <v>672</v>
      </c>
      <c r="L833" s="282" t="s">
        <v>111</v>
      </c>
      <c r="M833" s="282" t="s">
        <v>1183</v>
      </c>
      <c r="N833" s="132"/>
      <c r="O833" s="132"/>
      <c r="P833" s="132"/>
      <c r="Q833" s="132"/>
      <c r="R833" s="132"/>
      <c r="S833" s="132"/>
      <c r="T833" s="132"/>
      <c r="U833" s="132"/>
      <c r="V833" s="132"/>
      <c r="W833" s="132"/>
      <c r="X833" s="132"/>
      <c r="Y833" s="132"/>
      <c r="Z833" s="132"/>
      <c r="AA833" s="132"/>
      <c r="AB833" s="132"/>
      <c r="AC833" s="132"/>
      <c r="AD833" s="132"/>
      <c r="AE833" s="132"/>
      <c r="AF833" s="132"/>
      <c r="AG833" s="132"/>
      <c r="AH833" s="132"/>
      <c r="AI833" s="132"/>
      <c r="AJ833" s="132"/>
      <c r="AK833" s="132"/>
      <c r="AL833" s="132"/>
      <c r="AM833" s="132"/>
      <c r="AN833" s="132"/>
      <c r="AO833" s="132"/>
      <c r="AP833" s="132"/>
      <c r="AQ833" s="132"/>
      <c r="AR833" s="132"/>
      <c r="AS833" s="132"/>
      <c r="AT833" s="132"/>
      <c r="AU833" s="132"/>
      <c r="AV833" s="132"/>
      <c r="AW833" s="132"/>
      <c r="AX833" s="132"/>
      <c r="AY833" s="132"/>
      <c r="AZ833" s="132"/>
      <c r="BA833" s="132"/>
      <c r="BB833" s="132"/>
    </row>
    <row r="834" spans="1:54" s="269" customFormat="1" ht="71.25" customHeight="1" x14ac:dyDescent="0.2">
      <c r="A834" s="254">
        <v>197</v>
      </c>
      <c r="B834" s="396" t="s">
        <v>1184</v>
      </c>
      <c r="C834" s="396" t="s">
        <v>1184</v>
      </c>
      <c r="D834" s="336" t="s">
        <v>107</v>
      </c>
      <c r="E834" s="336"/>
      <c r="F834" s="336"/>
      <c r="G834" s="336"/>
      <c r="H834" s="336"/>
      <c r="I834" s="282" t="s">
        <v>1177</v>
      </c>
      <c r="J834" s="282" t="s">
        <v>599</v>
      </c>
      <c r="K834" s="284">
        <v>20000</v>
      </c>
      <c r="L834" s="282" t="s">
        <v>111</v>
      </c>
      <c r="M834" s="282" t="s">
        <v>1185</v>
      </c>
      <c r="N834" s="132"/>
      <c r="O834" s="132"/>
      <c r="P834" s="132"/>
      <c r="Q834" s="132"/>
      <c r="R834" s="132"/>
      <c r="S834" s="132"/>
      <c r="T834" s="132"/>
      <c r="U834" s="132"/>
      <c r="V834" s="132"/>
      <c r="W834" s="132"/>
      <c r="X834" s="132"/>
      <c r="Y834" s="132"/>
      <c r="Z834" s="132"/>
      <c r="AA834" s="132"/>
      <c r="AB834" s="132"/>
      <c r="AC834" s="132"/>
      <c r="AD834" s="132"/>
      <c r="AE834" s="132"/>
      <c r="AF834" s="132"/>
      <c r="AG834" s="132"/>
      <c r="AH834" s="132"/>
      <c r="AI834" s="132"/>
      <c r="AJ834" s="132"/>
      <c r="AK834" s="132"/>
      <c r="AL834" s="132"/>
      <c r="AM834" s="132"/>
      <c r="AN834" s="132"/>
      <c r="AO834" s="132"/>
      <c r="AP834" s="132"/>
      <c r="AQ834" s="132"/>
      <c r="AR834" s="132"/>
      <c r="AS834" s="132"/>
      <c r="AT834" s="132"/>
      <c r="AU834" s="132"/>
      <c r="AV834" s="132"/>
      <c r="AW834" s="132"/>
      <c r="AX834" s="132"/>
      <c r="AY834" s="132"/>
      <c r="AZ834" s="132"/>
      <c r="BA834" s="132"/>
      <c r="BB834" s="132"/>
    </row>
    <row r="835" spans="1:54" s="269" customFormat="1" ht="71.25" customHeight="1" x14ac:dyDescent="0.2">
      <c r="A835" s="254">
        <v>198</v>
      </c>
      <c r="B835" s="255" t="s">
        <v>1186</v>
      </c>
      <c r="C835" s="256"/>
      <c r="D835" s="336" t="s">
        <v>25</v>
      </c>
      <c r="E835" s="336"/>
      <c r="F835" s="336"/>
      <c r="G835" s="336" t="s">
        <v>1187</v>
      </c>
      <c r="H835" s="259"/>
      <c r="I835" s="189" t="s">
        <v>1188</v>
      </c>
      <c r="J835" s="189" t="s">
        <v>599</v>
      </c>
      <c r="K835" s="375">
        <v>150000</v>
      </c>
      <c r="L835" s="282" t="s">
        <v>1187</v>
      </c>
      <c r="M835" s="189" t="s">
        <v>1189</v>
      </c>
      <c r="N835" s="132"/>
      <c r="O835" s="132"/>
      <c r="P835" s="132"/>
      <c r="Q835" s="132"/>
      <c r="R835" s="132"/>
      <c r="S835" s="132"/>
      <c r="T835" s="132"/>
      <c r="U835" s="132"/>
      <c r="V835" s="132"/>
      <c r="W835" s="132"/>
      <c r="X835" s="132"/>
      <c r="Y835" s="132"/>
      <c r="Z835" s="132"/>
      <c r="AA835" s="132"/>
      <c r="AB835" s="132"/>
      <c r="AC835" s="132"/>
      <c r="AD835" s="132"/>
      <c r="AE835" s="132"/>
      <c r="AF835" s="132"/>
      <c r="AG835" s="132"/>
      <c r="AH835" s="132"/>
      <c r="AI835" s="132"/>
      <c r="AJ835" s="132"/>
      <c r="AK835" s="132"/>
      <c r="AL835" s="132"/>
      <c r="AM835" s="132"/>
      <c r="AN835" s="132"/>
      <c r="AO835" s="132"/>
      <c r="AP835" s="132"/>
      <c r="AQ835" s="132"/>
      <c r="AR835" s="132"/>
      <c r="AS835" s="132"/>
      <c r="AT835" s="132"/>
      <c r="AU835" s="132"/>
      <c r="AV835" s="132"/>
      <c r="AW835" s="132"/>
      <c r="AX835" s="132"/>
      <c r="AY835" s="132"/>
      <c r="AZ835" s="132"/>
      <c r="BA835" s="132"/>
      <c r="BB835" s="132"/>
    </row>
    <row r="836" spans="1:54" ht="53.25" customHeight="1" x14ac:dyDescent="0.2">
      <c r="A836" s="232">
        <v>199</v>
      </c>
      <c r="B836" s="255" t="s">
        <v>1190</v>
      </c>
      <c r="C836" s="256" t="s">
        <v>1190</v>
      </c>
      <c r="D836" s="336" t="s">
        <v>107</v>
      </c>
      <c r="E836" s="336"/>
      <c r="F836" s="336"/>
      <c r="G836" s="336"/>
      <c r="H836" s="259"/>
      <c r="I836" s="189" t="s">
        <v>1191</v>
      </c>
      <c r="J836" s="215" t="s">
        <v>224</v>
      </c>
      <c r="K836" s="397">
        <v>10000</v>
      </c>
      <c r="L836" s="398" t="s">
        <v>111</v>
      </c>
      <c r="M836" s="189" t="s">
        <v>1192</v>
      </c>
      <c r="N836" s="172"/>
    </row>
    <row r="837" spans="1:54" ht="48.75" customHeight="1" x14ac:dyDescent="0.2">
      <c r="A837" s="232">
        <v>200</v>
      </c>
      <c r="B837" s="255" t="s">
        <v>1193</v>
      </c>
      <c r="C837" s="256" t="s">
        <v>1194</v>
      </c>
      <c r="D837" s="258" t="s">
        <v>107</v>
      </c>
      <c r="E837" s="258"/>
      <c r="F837" s="258"/>
      <c r="G837" s="258"/>
      <c r="H837" s="259"/>
      <c r="I837" s="167" t="s">
        <v>1191</v>
      </c>
      <c r="J837" s="168" t="s">
        <v>224</v>
      </c>
      <c r="K837" s="399">
        <v>20000</v>
      </c>
      <c r="L837" s="306" t="s">
        <v>111</v>
      </c>
      <c r="M837" s="189" t="s">
        <v>1195</v>
      </c>
      <c r="N837" s="172"/>
    </row>
    <row r="838" spans="1:54" ht="22.5" customHeight="1" x14ac:dyDescent="0.2">
      <c r="A838" s="163">
        <v>201</v>
      </c>
      <c r="B838" s="164" t="s">
        <v>1196</v>
      </c>
      <c r="C838" s="165"/>
      <c r="D838" s="166" t="s">
        <v>107</v>
      </c>
      <c r="E838" s="166"/>
      <c r="F838" s="166"/>
      <c r="G838" s="166"/>
      <c r="H838" s="248" t="s">
        <v>983</v>
      </c>
      <c r="I838" s="217" t="s">
        <v>1197</v>
      </c>
      <c r="J838" s="223" t="s">
        <v>209</v>
      </c>
      <c r="K838" s="365">
        <f>K843*50%</f>
        <v>10000</v>
      </c>
      <c r="L838" s="195" t="s">
        <v>111</v>
      </c>
      <c r="M838" s="171" t="s">
        <v>1198</v>
      </c>
    </row>
    <row r="839" spans="1:54" ht="22.5" customHeight="1" x14ac:dyDescent="0.2">
      <c r="A839" s="173"/>
      <c r="B839" s="174"/>
      <c r="C839" s="175"/>
      <c r="D839" s="176"/>
      <c r="E839" s="176"/>
      <c r="F839" s="176"/>
      <c r="G839" s="176"/>
      <c r="H839" s="250"/>
      <c r="I839" s="184" t="s">
        <v>1199</v>
      </c>
      <c r="J839" s="207" t="s">
        <v>209</v>
      </c>
      <c r="K839" s="355">
        <f>K843*15%</f>
        <v>3000</v>
      </c>
      <c r="L839" s="197"/>
      <c r="M839" s="181"/>
    </row>
    <row r="840" spans="1:54" ht="22.5" customHeight="1" x14ac:dyDescent="0.2">
      <c r="A840" s="173"/>
      <c r="B840" s="174"/>
      <c r="C840" s="175"/>
      <c r="D840" s="176"/>
      <c r="E840" s="176"/>
      <c r="F840" s="176"/>
      <c r="G840" s="176"/>
      <c r="H840" s="250"/>
      <c r="I840" s="184" t="s">
        <v>1200</v>
      </c>
      <c r="J840" s="207" t="s">
        <v>209</v>
      </c>
      <c r="K840" s="355">
        <f>K843*15%</f>
        <v>3000</v>
      </c>
      <c r="L840" s="197"/>
      <c r="M840" s="181"/>
    </row>
    <row r="841" spans="1:54" ht="22.5" customHeight="1" x14ac:dyDescent="0.2">
      <c r="A841" s="173"/>
      <c r="B841" s="174"/>
      <c r="C841" s="175"/>
      <c r="D841" s="176"/>
      <c r="E841" s="176"/>
      <c r="F841" s="176"/>
      <c r="G841" s="176"/>
      <c r="H841" s="250"/>
      <c r="I841" s="184" t="s">
        <v>1201</v>
      </c>
      <c r="J841" s="207" t="s">
        <v>209</v>
      </c>
      <c r="K841" s="355">
        <f>K843*10%</f>
        <v>2000</v>
      </c>
      <c r="L841" s="197"/>
      <c r="M841" s="181"/>
    </row>
    <row r="842" spans="1:54" ht="22.5" customHeight="1" x14ac:dyDescent="0.2">
      <c r="A842" s="173"/>
      <c r="B842" s="174"/>
      <c r="C842" s="175"/>
      <c r="D842" s="176"/>
      <c r="E842" s="176"/>
      <c r="F842" s="176"/>
      <c r="G842" s="176"/>
      <c r="H842" s="250"/>
      <c r="I842" s="184" t="s">
        <v>1202</v>
      </c>
      <c r="J842" s="207" t="s">
        <v>224</v>
      </c>
      <c r="K842" s="355">
        <f>K843*10%</f>
        <v>2000</v>
      </c>
      <c r="L842" s="197"/>
      <c r="M842" s="181"/>
    </row>
    <row r="843" spans="1:54" ht="22.5" customHeight="1" x14ac:dyDescent="0.2">
      <c r="A843" s="185"/>
      <c r="B843" s="186"/>
      <c r="C843" s="187"/>
      <c r="D843" s="188"/>
      <c r="E843" s="188"/>
      <c r="F843" s="188"/>
      <c r="G843" s="188"/>
      <c r="H843" s="251"/>
      <c r="I843" s="202"/>
      <c r="J843" s="203"/>
      <c r="K843" s="366">
        <v>20000</v>
      </c>
      <c r="L843" s="205"/>
      <c r="M843" s="193"/>
    </row>
    <row r="844" spans="1:54" ht="48" customHeight="1" x14ac:dyDescent="0.2">
      <c r="A844" s="232">
        <v>202</v>
      </c>
      <c r="B844" s="255" t="s">
        <v>1203</v>
      </c>
      <c r="C844" s="256" t="s">
        <v>1203</v>
      </c>
      <c r="D844" s="258" t="s">
        <v>107</v>
      </c>
      <c r="E844" s="258"/>
      <c r="F844" s="258"/>
      <c r="G844" s="258"/>
      <c r="H844" s="259"/>
      <c r="I844" s="189" t="s">
        <v>1204</v>
      </c>
      <c r="J844" s="215" t="s">
        <v>224</v>
      </c>
      <c r="K844" s="400">
        <v>8000</v>
      </c>
      <c r="L844" s="306" t="s">
        <v>111</v>
      </c>
      <c r="M844" s="189" t="s">
        <v>1205</v>
      </c>
    </row>
    <row r="845" spans="1:54" ht="48.75" customHeight="1" x14ac:dyDescent="0.2">
      <c r="A845" s="232">
        <v>203</v>
      </c>
      <c r="B845" s="255" t="s">
        <v>1206</v>
      </c>
      <c r="C845" s="256" t="s">
        <v>1206</v>
      </c>
      <c r="D845" s="258" t="s">
        <v>163</v>
      </c>
      <c r="E845" s="258"/>
      <c r="F845" s="258"/>
      <c r="G845" s="258"/>
      <c r="H845" s="259"/>
      <c r="I845" s="189" t="s">
        <v>1207</v>
      </c>
      <c r="J845" s="215" t="s">
        <v>224</v>
      </c>
      <c r="K845" s="401">
        <v>1368800</v>
      </c>
      <c r="L845" s="402" t="s">
        <v>166</v>
      </c>
      <c r="M845" s="189" t="s">
        <v>1208</v>
      </c>
    </row>
    <row r="846" spans="1:54" ht="52.5" customHeight="1" x14ac:dyDescent="0.2">
      <c r="A846" s="232">
        <v>204</v>
      </c>
      <c r="B846" s="255" t="s">
        <v>1209</v>
      </c>
      <c r="C846" s="256" t="s">
        <v>1209</v>
      </c>
      <c r="D846" s="258" t="s">
        <v>163</v>
      </c>
      <c r="E846" s="258"/>
      <c r="F846" s="258"/>
      <c r="G846" s="258"/>
      <c r="H846" s="259"/>
      <c r="I846" s="189" t="s">
        <v>1210</v>
      </c>
      <c r="J846" s="215" t="s">
        <v>224</v>
      </c>
      <c r="K846" s="401">
        <v>1147600</v>
      </c>
      <c r="L846" s="402" t="s">
        <v>166</v>
      </c>
      <c r="M846" s="189" t="s">
        <v>1211</v>
      </c>
    </row>
    <row r="847" spans="1:54" ht="57.75" customHeight="1" x14ac:dyDescent="0.2">
      <c r="A847" s="232">
        <v>205</v>
      </c>
      <c r="B847" s="255" t="s">
        <v>1212</v>
      </c>
      <c r="C847" s="256" t="s">
        <v>1212</v>
      </c>
      <c r="D847" s="258" t="s">
        <v>163</v>
      </c>
      <c r="E847" s="258"/>
      <c r="F847" s="258"/>
      <c r="G847" s="258"/>
      <c r="H847" s="259"/>
      <c r="I847" s="189" t="s">
        <v>1213</v>
      </c>
      <c r="J847" s="215" t="s">
        <v>224</v>
      </c>
      <c r="K847" s="401">
        <v>1391800</v>
      </c>
      <c r="L847" s="402" t="s">
        <v>166</v>
      </c>
      <c r="M847" s="189" t="s">
        <v>1214</v>
      </c>
    </row>
    <row r="848" spans="1:54" ht="69.75" customHeight="1" x14ac:dyDescent="0.2">
      <c r="A848" s="232">
        <v>206</v>
      </c>
      <c r="B848" s="255" t="s">
        <v>1215</v>
      </c>
      <c r="C848" s="256" t="s">
        <v>1215</v>
      </c>
      <c r="D848" s="258" t="s">
        <v>163</v>
      </c>
      <c r="E848" s="258"/>
      <c r="F848" s="258"/>
      <c r="G848" s="258"/>
      <c r="H848" s="259"/>
      <c r="I848" s="189" t="s">
        <v>1210</v>
      </c>
      <c r="J848" s="215" t="s">
        <v>224</v>
      </c>
      <c r="K848" s="401">
        <v>1018500</v>
      </c>
      <c r="L848" s="402" t="s">
        <v>166</v>
      </c>
      <c r="M848" s="189" t="s">
        <v>1216</v>
      </c>
    </row>
    <row r="849" spans="1:13" x14ac:dyDescent="0.2">
      <c r="A849" s="163">
        <v>207</v>
      </c>
      <c r="B849" s="164" t="s">
        <v>1217</v>
      </c>
      <c r="C849" s="165"/>
      <c r="D849" s="166" t="s">
        <v>163</v>
      </c>
      <c r="E849" s="166"/>
      <c r="F849" s="166"/>
      <c r="G849" s="166"/>
      <c r="H849" s="166"/>
      <c r="I849" s="217" t="s">
        <v>1218</v>
      </c>
      <c r="J849" s="168" t="s">
        <v>211</v>
      </c>
      <c r="K849" s="210">
        <f>32300*95%</f>
        <v>30685</v>
      </c>
      <c r="L849" s="171" t="s">
        <v>166</v>
      </c>
      <c r="M849" s="171" t="s">
        <v>1219</v>
      </c>
    </row>
    <row r="850" spans="1:13" x14ac:dyDescent="0.2">
      <c r="A850" s="173"/>
      <c r="B850" s="174"/>
      <c r="C850" s="175"/>
      <c r="D850" s="176"/>
      <c r="E850" s="176"/>
      <c r="F850" s="176"/>
      <c r="G850" s="176"/>
      <c r="H850" s="176"/>
      <c r="I850" s="167" t="s">
        <v>1220</v>
      </c>
      <c r="J850" s="226" t="s">
        <v>1116</v>
      </c>
      <c r="K850" s="363">
        <f>32300*5%</f>
        <v>1615</v>
      </c>
      <c r="L850" s="181"/>
      <c r="M850" s="181"/>
    </row>
    <row r="851" spans="1:13" x14ac:dyDescent="0.2">
      <c r="A851" s="185"/>
      <c r="B851" s="186"/>
      <c r="C851" s="187"/>
      <c r="D851" s="188"/>
      <c r="E851" s="188"/>
      <c r="F851" s="188"/>
      <c r="G851" s="188"/>
      <c r="H851" s="188"/>
      <c r="I851" s="202"/>
      <c r="J851" s="203"/>
      <c r="K851" s="204">
        <f>SUM(K849:K850)</f>
        <v>32300</v>
      </c>
      <c r="L851" s="193"/>
      <c r="M851" s="193"/>
    </row>
    <row r="852" spans="1:13" ht="22.5" customHeight="1" x14ac:dyDescent="0.2">
      <c r="A852" s="163">
        <v>208</v>
      </c>
      <c r="B852" s="164" t="s">
        <v>1221</v>
      </c>
      <c r="C852" s="165"/>
      <c r="D852" s="166" t="s">
        <v>163</v>
      </c>
      <c r="E852" s="166"/>
      <c r="F852" s="166"/>
      <c r="G852" s="166"/>
      <c r="H852" s="166"/>
      <c r="I852" s="217" t="s">
        <v>1218</v>
      </c>
      <c r="J852" s="168" t="s">
        <v>211</v>
      </c>
      <c r="K852" s="399">
        <f>300000*95%</f>
        <v>285000</v>
      </c>
      <c r="L852" s="171" t="s">
        <v>166</v>
      </c>
      <c r="M852" s="171" t="s">
        <v>1222</v>
      </c>
    </row>
    <row r="853" spans="1:13" ht="22.5" customHeight="1" x14ac:dyDescent="0.2">
      <c r="A853" s="173"/>
      <c r="B853" s="174"/>
      <c r="C853" s="175"/>
      <c r="D853" s="176"/>
      <c r="E853" s="176"/>
      <c r="F853" s="176"/>
      <c r="G853" s="176"/>
      <c r="H853" s="176"/>
      <c r="I853" s="184" t="s">
        <v>1220</v>
      </c>
      <c r="J853" s="226" t="s">
        <v>1116</v>
      </c>
      <c r="K853" s="196">
        <f>300000*5%</f>
        <v>15000</v>
      </c>
      <c r="L853" s="181"/>
      <c r="M853" s="181"/>
    </row>
    <row r="854" spans="1:13" x14ac:dyDescent="0.2">
      <c r="A854" s="185"/>
      <c r="B854" s="186"/>
      <c r="C854" s="187"/>
      <c r="D854" s="188"/>
      <c r="E854" s="188"/>
      <c r="F854" s="188"/>
      <c r="G854" s="188"/>
      <c r="H854" s="188"/>
      <c r="I854" s="403"/>
      <c r="J854" s="203"/>
      <c r="K854" s="204">
        <f>SUM(K852:K853)</f>
        <v>300000</v>
      </c>
      <c r="L854" s="193"/>
      <c r="M854" s="193"/>
    </row>
    <row r="855" spans="1:13" ht="48" customHeight="1" x14ac:dyDescent="0.2">
      <c r="A855" s="232">
        <v>209</v>
      </c>
      <c r="B855" s="255" t="s">
        <v>1223</v>
      </c>
      <c r="C855" s="256" t="s">
        <v>1223</v>
      </c>
      <c r="D855" s="258" t="s">
        <v>163</v>
      </c>
      <c r="E855" s="258"/>
      <c r="F855" s="258"/>
      <c r="G855" s="258"/>
      <c r="H855" s="259"/>
      <c r="I855" s="167" t="s">
        <v>1224</v>
      </c>
      <c r="J855" s="168" t="s">
        <v>224</v>
      </c>
      <c r="K855" s="399">
        <v>43100</v>
      </c>
      <c r="L855" s="402" t="s">
        <v>166</v>
      </c>
      <c r="M855" s="189" t="s">
        <v>1225</v>
      </c>
    </row>
    <row r="856" spans="1:13" ht="21" customHeight="1" x14ac:dyDescent="0.2">
      <c r="A856" s="163">
        <v>210</v>
      </c>
      <c r="B856" s="164" t="s">
        <v>1226</v>
      </c>
      <c r="C856" s="165"/>
      <c r="D856" s="166" t="s">
        <v>163</v>
      </c>
      <c r="E856" s="166"/>
      <c r="F856" s="166"/>
      <c r="G856" s="166"/>
      <c r="H856" s="248" t="s">
        <v>137</v>
      </c>
      <c r="I856" s="217" t="s">
        <v>1227</v>
      </c>
      <c r="J856" s="223" t="s">
        <v>209</v>
      </c>
      <c r="K856" s="365">
        <f>K859*60%</f>
        <v>116370</v>
      </c>
      <c r="L856" s="195" t="s">
        <v>166</v>
      </c>
      <c r="M856" s="171" t="s">
        <v>1228</v>
      </c>
    </row>
    <row r="857" spans="1:13" ht="21" customHeight="1" x14ac:dyDescent="0.2">
      <c r="A857" s="173"/>
      <c r="B857" s="174"/>
      <c r="C857" s="175"/>
      <c r="D857" s="176"/>
      <c r="E857" s="176"/>
      <c r="F857" s="176"/>
      <c r="G857" s="176"/>
      <c r="H857" s="250"/>
      <c r="I857" s="184" t="s">
        <v>1229</v>
      </c>
      <c r="J857" s="207" t="s">
        <v>209</v>
      </c>
      <c r="K857" s="355">
        <f>K859*20%</f>
        <v>38790</v>
      </c>
      <c r="L857" s="197"/>
      <c r="M857" s="181"/>
    </row>
    <row r="858" spans="1:13" ht="21" customHeight="1" x14ac:dyDescent="0.2">
      <c r="A858" s="173"/>
      <c r="B858" s="174"/>
      <c r="C858" s="175"/>
      <c r="D858" s="176"/>
      <c r="E858" s="176"/>
      <c r="F858" s="176"/>
      <c r="G858" s="176"/>
      <c r="H858" s="250"/>
      <c r="I858" s="184" t="s">
        <v>1230</v>
      </c>
      <c r="J858" s="207" t="s">
        <v>224</v>
      </c>
      <c r="K858" s="355">
        <f>K859*20%</f>
        <v>38790</v>
      </c>
      <c r="L858" s="197"/>
      <c r="M858" s="181"/>
    </row>
    <row r="859" spans="1:13" ht="21" customHeight="1" x14ac:dyDescent="0.2">
      <c r="A859" s="185"/>
      <c r="B859" s="186"/>
      <c r="C859" s="187"/>
      <c r="D859" s="188"/>
      <c r="E859" s="188"/>
      <c r="F859" s="188"/>
      <c r="G859" s="188"/>
      <c r="H859" s="251"/>
      <c r="I859" s="202"/>
      <c r="J859" s="203"/>
      <c r="K859" s="366">
        <v>193950</v>
      </c>
      <c r="L859" s="205"/>
      <c r="M859" s="193"/>
    </row>
    <row r="860" spans="1:13" ht="22.5" customHeight="1" x14ac:dyDescent="0.2">
      <c r="A860" s="163">
        <v>211</v>
      </c>
      <c r="B860" s="164" t="s">
        <v>1231</v>
      </c>
      <c r="C860" s="165"/>
      <c r="D860" s="166" t="s">
        <v>163</v>
      </c>
      <c r="E860" s="166"/>
      <c r="F860" s="166"/>
      <c r="G860" s="166"/>
      <c r="H860" s="248" t="s">
        <v>164</v>
      </c>
      <c r="I860" s="217" t="s">
        <v>1232</v>
      </c>
      <c r="J860" s="223" t="s">
        <v>209</v>
      </c>
      <c r="K860" s="365">
        <f>K862*80%</f>
        <v>147840</v>
      </c>
      <c r="L860" s="195" t="s">
        <v>166</v>
      </c>
      <c r="M860" s="171" t="s">
        <v>1233</v>
      </c>
    </row>
    <row r="861" spans="1:13" x14ac:dyDescent="0.2">
      <c r="A861" s="173"/>
      <c r="B861" s="174"/>
      <c r="C861" s="175"/>
      <c r="D861" s="176"/>
      <c r="E861" s="176"/>
      <c r="F861" s="176"/>
      <c r="G861" s="176"/>
      <c r="H861" s="250"/>
      <c r="I861" s="184" t="s">
        <v>1234</v>
      </c>
      <c r="J861" s="207" t="s">
        <v>599</v>
      </c>
      <c r="K861" s="355">
        <f>K862*20%</f>
        <v>36960</v>
      </c>
      <c r="L861" s="197"/>
      <c r="M861" s="181"/>
    </row>
    <row r="862" spans="1:13" x14ac:dyDescent="0.2">
      <c r="A862" s="185"/>
      <c r="B862" s="186"/>
      <c r="C862" s="187"/>
      <c r="D862" s="188"/>
      <c r="E862" s="188"/>
      <c r="F862" s="188"/>
      <c r="G862" s="188"/>
      <c r="H862" s="251"/>
      <c r="I862" s="202"/>
      <c r="J862" s="203"/>
      <c r="K862" s="366">
        <v>184800</v>
      </c>
      <c r="L862" s="205"/>
      <c r="M862" s="193"/>
    </row>
    <row r="863" spans="1:13" x14ac:dyDescent="0.2">
      <c r="A863" s="163">
        <v>212</v>
      </c>
      <c r="B863" s="164" t="s">
        <v>1235</v>
      </c>
      <c r="C863" s="165"/>
      <c r="D863" s="166" t="s">
        <v>163</v>
      </c>
      <c r="E863" s="166"/>
      <c r="F863" s="166"/>
      <c r="G863" s="166"/>
      <c r="H863" s="248" t="s">
        <v>137</v>
      </c>
      <c r="I863" s="217" t="s">
        <v>1236</v>
      </c>
      <c r="J863" s="223" t="s">
        <v>224</v>
      </c>
      <c r="K863" s="365">
        <f>K866*40%</f>
        <v>160000</v>
      </c>
      <c r="L863" s="195" t="s">
        <v>166</v>
      </c>
      <c r="M863" s="171" t="s">
        <v>1237</v>
      </c>
    </row>
    <row r="864" spans="1:13" x14ac:dyDescent="0.2">
      <c r="A864" s="173"/>
      <c r="B864" s="174"/>
      <c r="C864" s="175"/>
      <c r="D864" s="176"/>
      <c r="E864" s="176"/>
      <c r="F864" s="176"/>
      <c r="G864" s="176"/>
      <c r="H864" s="250"/>
      <c r="I864" s="184" t="s">
        <v>1238</v>
      </c>
      <c r="J864" s="207" t="s">
        <v>224</v>
      </c>
      <c r="K864" s="355">
        <f>K866*30%</f>
        <v>120000</v>
      </c>
      <c r="L864" s="197"/>
      <c r="M864" s="181"/>
    </row>
    <row r="865" spans="1:13" x14ac:dyDescent="0.2">
      <c r="A865" s="173"/>
      <c r="B865" s="174"/>
      <c r="C865" s="175"/>
      <c r="D865" s="176"/>
      <c r="E865" s="176"/>
      <c r="F865" s="176"/>
      <c r="G865" s="176"/>
      <c r="H865" s="250"/>
      <c r="I865" s="184" t="s">
        <v>1239</v>
      </c>
      <c r="J865" s="207" t="s">
        <v>224</v>
      </c>
      <c r="K865" s="355">
        <f>K866*30%</f>
        <v>120000</v>
      </c>
      <c r="L865" s="197"/>
      <c r="M865" s="181"/>
    </row>
    <row r="866" spans="1:13" x14ac:dyDescent="0.2">
      <c r="A866" s="185"/>
      <c r="B866" s="186"/>
      <c r="C866" s="187"/>
      <c r="D866" s="188"/>
      <c r="E866" s="188"/>
      <c r="F866" s="188"/>
      <c r="G866" s="188"/>
      <c r="H866" s="251"/>
      <c r="I866" s="202"/>
      <c r="J866" s="203"/>
      <c r="K866" s="366">
        <v>400000</v>
      </c>
      <c r="L866" s="205"/>
      <c r="M866" s="193"/>
    </row>
    <row r="867" spans="1:13" x14ac:dyDescent="0.2">
      <c r="A867" s="163">
        <v>213</v>
      </c>
      <c r="B867" s="164" t="s">
        <v>1240</v>
      </c>
      <c r="C867" s="165"/>
      <c r="D867" s="166" t="s">
        <v>163</v>
      </c>
      <c r="E867" s="166"/>
      <c r="F867" s="166"/>
      <c r="G867" s="166"/>
      <c r="H867" s="248" t="s">
        <v>137</v>
      </c>
      <c r="I867" s="217" t="s">
        <v>1241</v>
      </c>
      <c r="J867" s="223" t="s">
        <v>224</v>
      </c>
      <c r="K867" s="365">
        <f>K870*40%</f>
        <v>160000</v>
      </c>
      <c r="L867" s="195" t="s">
        <v>166</v>
      </c>
      <c r="M867" s="171" t="s">
        <v>1242</v>
      </c>
    </row>
    <row r="868" spans="1:13" x14ac:dyDescent="0.2">
      <c r="A868" s="173"/>
      <c r="B868" s="174"/>
      <c r="C868" s="175"/>
      <c r="D868" s="176"/>
      <c r="E868" s="176"/>
      <c r="F868" s="176"/>
      <c r="G868" s="176"/>
      <c r="H868" s="250"/>
      <c r="I868" s="184" t="s">
        <v>1243</v>
      </c>
      <c r="J868" s="207" t="s">
        <v>224</v>
      </c>
      <c r="K868" s="355">
        <f>K870*30%</f>
        <v>120000</v>
      </c>
      <c r="L868" s="197"/>
      <c r="M868" s="181"/>
    </row>
    <row r="869" spans="1:13" x14ac:dyDescent="0.2">
      <c r="A869" s="173"/>
      <c r="B869" s="174"/>
      <c r="C869" s="175"/>
      <c r="D869" s="176"/>
      <c r="E869" s="176"/>
      <c r="F869" s="176"/>
      <c r="G869" s="176"/>
      <c r="H869" s="250"/>
      <c r="I869" s="184" t="s">
        <v>1244</v>
      </c>
      <c r="J869" s="207" t="s">
        <v>224</v>
      </c>
      <c r="K869" s="355">
        <f>K870*30%</f>
        <v>120000</v>
      </c>
      <c r="L869" s="197"/>
      <c r="M869" s="181"/>
    </row>
    <row r="870" spans="1:13" x14ac:dyDescent="0.2">
      <c r="A870" s="185"/>
      <c r="B870" s="186"/>
      <c r="C870" s="187"/>
      <c r="D870" s="188"/>
      <c r="E870" s="188"/>
      <c r="F870" s="188"/>
      <c r="G870" s="188"/>
      <c r="H870" s="251"/>
      <c r="I870" s="202"/>
      <c r="J870" s="203"/>
      <c r="K870" s="366">
        <v>400000</v>
      </c>
      <c r="L870" s="205"/>
      <c r="M870" s="193"/>
    </row>
    <row r="871" spans="1:13" ht="48" x14ac:dyDescent="0.2">
      <c r="A871" s="232">
        <v>214</v>
      </c>
      <c r="B871" s="255" t="s">
        <v>1245</v>
      </c>
      <c r="C871" s="256" t="s">
        <v>1245</v>
      </c>
      <c r="D871" s="258" t="s">
        <v>163</v>
      </c>
      <c r="E871" s="258"/>
      <c r="F871" s="258"/>
      <c r="G871" s="258"/>
      <c r="H871" s="259"/>
      <c r="I871" s="282" t="s">
        <v>1246</v>
      </c>
      <c r="J871" s="283" t="s">
        <v>224</v>
      </c>
      <c r="K871" s="404">
        <v>400000</v>
      </c>
      <c r="L871" s="402" t="s">
        <v>166</v>
      </c>
      <c r="M871" s="189" t="s">
        <v>1247</v>
      </c>
    </row>
    <row r="872" spans="1:13" ht="62.25" customHeight="1" x14ac:dyDescent="0.2">
      <c r="A872" s="232">
        <v>215</v>
      </c>
      <c r="B872" s="255" t="s">
        <v>1248</v>
      </c>
      <c r="C872" s="256" t="s">
        <v>1248</v>
      </c>
      <c r="D872" s="258" t="s">
        <v>163</v>
      </c>
      <c r="E872" s="258"/>
      <c r="F872" s="258"/>
      <c r="G872" s="258"/>
      <c r="H872" s="259"/>
      <c r="I872" s="189" t="s">
        <v>1249</v>
      </c>
      <c r="J872" s="215" t="s">
        <v>224</v>
      </c>
      <c r="K872" s="400">
        <v>400000</v>
      </c>
      <c r="L872" s="402" t="s">
        <v>166</v>
      </c>
      <c r="M872" s="189" t="s">
        <v>1250</v>
      </c>
    </row>
    <row r="873" spans="1:13" ht="53.25" customHeight="1" x14ac:dyDescent="0.2">
      <c r="A873" s="232">
        <v>216</v>
      </c>
      <c r="B873" s="255" t="s">
        <v>1251</v>
      </c>
      <c r="C873" s="256" t="s">
        <v>1251</v>
      </c>
      <c r="D873" s="258" t="s">
        <v>163</v>
      </c>
      <c r="E873" s="258"/>
      <c r="F873" s="258"/>
      <c r="G873" s="258"/>
      <c r="H873" s="259"/>
      <c r="I873" s="189" t="s">
        <v>1252</v>
      </c>
      <c r="J873" s="215" t="s">
        <v>224</v>
      </c>
      <c r="K873" s="401">
        <v>400000</v>
      </c>
      <c r="L873" s="402" t="s">
        <v>166</v>
      </c>
      <c r="M873" s="189" t="s">
        <v>1253</v>
      </c>
    </row>
    <row r="874" spans="1:13" ht="85.5" customHeight="1" x14ac:dyDescent="0.2">
      <c r="A874" s="232">
        <v>217</v>
      </c>
      <c r="B874" s="255" t="s">
        <v>1254</v>
      </c>
      <c r="C874" s="256" t="s">
        <v>1254</v>
      </c>
      <c r="D874" s="258" t="s">
        <v>163</v>
      </c>
      <c r="E874" s="258"/>
      <c r="F874" s="258"/>
      <c r="G874" s="258"/>
      <c r="H874" s="259"/>
      <c r="I874" s="189" t="s">
        <v>1249</v>
      </c>
      <c r="J874" s="215" t="s">
        <v>224</v>
      </c>
      <c r="K874" s="401">
        <v>71000</v>
      </c>
      <c r="L874" s="402" t="s">
        <v>166</v>
      </c>
      <c r="M874" s="189" t="s">
        <v>1255</v>
      </c>
    </row>
    <row r="875" spans="1:13" ht="53.25" customHeight="1" x14ac:dyDescent="0.2">
      <c r="A875" s="232">
        <v>218</v>
      </c>
      <c r="B875" s="255" t="s">
        <v>1256</v>
      </c>
      <c r="C875" s="256" t="s">
        <v>1256</v>
      </c>
      <c r="D875" s="258" t="s">
        <v>163</v>
      </c>
      <c r="E875" s="258"/>
      <c r="F875" s="258"/>
      <c r="G875" s="258"/>
      <c r="H875" s="259"/>
      <c r="I875" s="189" t="s">
        <v>1252</v>
      </c>
      <c r="J875" s="215" t="s">
        <v>224</v>
      </c>
      <c r="K875" s="401">
        <v>300000</v>
      </c>
      <c r="L875" s="402" t="s">
        <v>166</v>
      </c>
      <c r="M875" s="189" t="s">
        <v>1257</v>
      </c>
    </row>
    <row r="876" spans="1:13" ht="53.25" customHeight="1" x14ac:dyDescent="0.2">
      <c r="A876" s="232">
        <v>219</v>
      </c>
      <c r="B876" s="255" t="s">
        <v>1258</v>
      </c>
      <c r="C876" s="256" t="s">
        <v>1258</v>
      </c>
      <c r="D876" s="258" t="s">
        <v>163</v>
      </c>
      <c r="E876" s="258"/>
      <c r="F876" s="258"/>
      <c r="G876" s="258"/>
      <c r="H876" s="259"/>
      <c r="I876" s="189" t="s">
        <v>1259</v>
      </c>
      <c r="J876" s="215" t="s">
        <v>224</v>
      </c>
      <c r="K876" s="401">
        <v>300000</v>
      </c>
      <c r="L876" s="402" t="s">
        <v>166</v>
      </c>
      <c r="M876" s="189" t="s">
        <v>1260</v>
      </c>
    </row>
    <row r="877" spans="1:13" ht="53.25" customHeight="1" x14ac:dyDescent="0.2">
      <c r="A877" s="232">
        <v>220</v>
      </c>
      <c r="B877" s="255" t="s">
        <v>1261</v>
      </c>
      <c r="C877" s="256" t="s">
        <v>1261</v>
      </c>
      <c r="D877" s="258" t="s">
        <v>163</v>
      </c>
      <c r="E877" s="258"/>
      <c r="F877" s="258"/>
      <c r="G877" s="258"/>
      <c r="H877" s="259"/>
      <c r="I877" s="167" t="s">
        <v>1262</v>
      </c>
      <c r="J877" s="168" t="s">
        <v>224</v>
      </c>
      <c r="K877" s="399">
        <v>300000</v>
      </c>
      <c r="L877" s="402" t="s">
        <v>166</v>
      </c>
      <c r="M877" s="189" t="s">
        <v>1263</v>
      </c>
    </row>
    <row r="878" spans="1:13" x14ac:dyDescent="0.2">
      <c r="A878" s="252">
        <v>221</v>
      </c>
      <c r="B878" s="164" t="s">
        <v>1264</v>
      </c>
      <c r="C878" s="165"/>
      <c r="D878" s="166" t="s">
        <v>25</v>
      </c>
      <c r="E878" s="166"/>
      <c r="F878" s="166" t="s">
        <v>1265</v>
      </c>
      <c r="G878" s="166" t="s">
        <v>1266</v>
      </c>
      <c r="H878" s="166" t="s">
        <v>1146</v>
      </c>
      <c r="I878" s="405" t="s">
        <v>1267</v>
      </c>
      <c r="J878" s="406" t="s">
        <v>211</v>
      </c>
      <c r="K878" s="375">
        <f>50000*25%</f>
        <v>12500</v>
      </c>
      <c r="L878" s="171" t="s">
        <v>1266</v>
      </c>
      <c r="M878" s="171" t="s">
        <v>1268</v>
      </c>
    </row>
    <row r="879" spans="1:13" x14ac:dyDescent="0.2">
      <c r="A879" s="245"/>
      <c r="B879" s="174"/>
      <c r="C879" s="175"/>
      <c r="D879" s="176"/>
      <c r="E879" s="176"/>
      <c r="F879" s="176"/>
      <c r="G879" s="176"/>
      <c r="H879" s="176"/>
      <c r="I879" s="407" t="s">
        <v>1269</v>
      </c>
      <c r="J879" s="408" t="s">
        <v>211</v>
      </c>
      <c r="K879" s="214">
        <f>50000*25%</f>
        <v>12500</v>
      </c>
      <c r="L879" s="181"/>
      <c r="M879" s="181"/>
    </row>
    <row r="880" spans="1:13" x14ac:dyDescent="0.2">
      <c r="A880" s="245"/>
      <c r="B880" s="174"/>
      <c r="C880" s="175"/>
      <c r="D880" s="176"/>
      <c r="E880" s="176"/>
      <c r="F880" s="176"/>
      <c r="G880" s="176"/>
      <c r="H880" s="176"/>
      <c r="I880" s="409" t="s">
        <v>1270</v>
      </c>
      <c r="J880" s="408" t="s">
        <v>196</v>
      </c>
      <c r="K880" s="382">
        <f>50000*25%</f>
        <v>12500</v>
      </c>
      <c r="L880" s="181"/>
      <c r="M880" s="181"/>
    </row>
    <row r="881" spans="1:13" x14ac:dyDescent="0.2">
      <c r="A881" s="245"/>
      <c r="B881" s="174"/>
      <c r="C881" s="175"/>
      <c r="D881" s="176"/>
      <c r="E881" s="176"/>
      <c r="F881" s="176"/>
      <c r="G881" s="176"/>
      <c r="H881" s="176"/>
      <c r="I881" s="350" t="s">
        <v>1271</v>
      </c>
      <c r="J881" s="350" t="s">
        <v>1272</v>
      </c>
      <c r="K881" s="214">
        <f>50000*25%</f>
        <v>12500</v>
      </c>
      <c r="L881" s="181"/>
      <c r="M881" s="181"/>
    </row>
    <row r="882" spans="1:13" x14ac:dyDescent="0.2">
      <c r="A882" s="246"/>
      <c r="B882" s="186"/>
      <c r="C882" s="187"/>
      <c r="D882" s="188"/>
      <c r="E882" s="188"/>
      <c r="F882" s="188"/>
      <c r="G882" s="188"/>
      <c r="H882" s="188"/>
      <c r="I882" s="410"/>
      <c r="J882" s="342"/>
      <c r="K882" s="247">
        <f>SUM(K878:K881)</f>
        <v>50000</v>
      </c>
      <c r="L882" s="193"/>
      <c r="M882" s="193"/>
    </row>
    <row r="883" spans="1:13" ht="59.25" customHeight="1" x14ac:dyDescent="0.2">
      <c r="A883" s="262">
        <v>222</v>
      </c>
      <c r="B883" s="255" t="s">
        <v>1273</v>
      </c>
      <c r="C883" s="256" t="s">
        <v>1273</v>
      </c>
      <c r="D883" s="257" t="s">
        <v>107</v>
      </c>
      <c r="E883" s="258"/>
      <c r="F883" s="258"/>
      <c r="G883" s="258"/>
      <c r="H883" s="259"/>
      <c r="I883" s="282" t="s">
        <v>1274</v>
      </c>
      <c r="J883" s="312" t="s">
        <v>224</v>
      </c>
      <c r="K883" s="284">
        <v>20000</v>
      </c>
      <c r="L883" s="306" t="s">
        <v>111</v>
      </c>
      <c r="M883" s="189" t="s">
        <v>1275</v>
      </c>
    </row>
    <row r="884" spans="1:13" ht="53.25" customHeight="1" x14ac:dyDescent="0.2">
      <c r="A884" s="411">
        <v>223</v>
      </c>
      <c r="B884" s="255" t="s">
        <v>1276</v>
      </c>
      <c r="C884" s="256" t="s">
        <v>1276</v>
      </c>
      <c r="D884" s="257" t="s">
        <v>107</v>
      </c>
      <c r="E884" s="258"/>
      <c r="F884" s="258"/>
      <c r="G884" s="258"/>
      <c r="H884" s="259"/>
      <c r="I884" s="167" t="s">
        <v>1277</v>
      </c>
      <c r="J884" s="138" t="s">
        <v>224</v>
      </c>
      <c r="K884" s="382">
        <v>10000</v>
      </c>
      <c r="L884" s="306" t="s">
        <v>111</v>
      </c>
      <c r="M884" s="189" t="s">
        <v>1278</v>
      </c>
    </row>
    <row r="885" spans="1:13" ht="50.25" customHeight="1" x14ac:dyDescent="0.2">
      <c r="A885" s="252">
        <v>224</v>
      </c>
      <c r="B885" s="164" t="s">
        <v>1279</v>
      </c>
      <c r="C885" s="165"/>
      <c r="D885" s="252" t="s">
        <v>107</v>
      </c>
      <c r="E885" s="166"/>
      <c r="F885" s="166"/>
      <c r="G885" s="166"/>
      <c r="H885" s="166"/>
      <c r="I885" s="261" t="s">
        <v>1280</v>
      </c>
      <c r="J885" s="386" t="s">
        <v>224</v>
      </c>
      <c r="K885" s="375">
        <f>10000*85%</f>
        <v>8500</v>
      </c>
      <c r="L885" s="171" t="s">
        <v>111</v>
      </c>
      <c r="M885" s="171" t="s">
        <v>1281</v>
      </c>
    </row>
    <row r="886" spans="1:13" ht="50.25" customHeight="1" x14ac:dyDescent="0.2">
      <c r="A886" s="245"/>
      <c r="B886" s="174"/>
      <c r="C886" s="175"/>
      <c r="D886" s="245"/>
      <c r="E886" s="176"/>
      <c r="F886" s="176"/>
      <c r="G886" s="176"/>
      <c r="H886" s="176"/>
      <c r="I886" s="177" t="s">
        <v>1282</v>
      </c>
      <c r="J886" s="207" t="s">
        <v>224</v>
      </c>
      <c r="K886" s="196">
        <f>10000*5%</f>
        <v>500</v>
      </c>
      <c r="L886" s="181"/>
      <c r="M886" s="181"/>
    </row>
    <row r="887" spans="1:13" ht="50.25" customHeight="1" x14ac:dyDescent="0.2">
      <c r="A887" s="245"/>
      <c r="B887" s="174"/>
      <c r="C887" s="175"/>
      <c r="D887" s="245"/>
      <c r="E887" s="176"/>
      <c r="F887" s="176"/>
      <c r="G887" s="176"/>
      <c r="H887" s="176"/>
      <c r="I887" s="177" t="s">
        <v>1283</v>
      </c>
      <c r="J887" s="138" t="s">
        <v>224</v>
      </c>
      <c r="K887" s="196">
        <f t="shared" ref="K887:K888" si="15">10000*5%</f>
        <v>500</v>
      </c>
      <c r="L887" s="181"/>
      <c r="M887" s="181"/>
    </row>
    <row r="888" spans="1:13" ht="50.25" customHeight="1" x14ac:dyDescent="0.2">
      <c r="A888" s="245"/>
      <c r="B888" s="174"/>
      <c r="C888" s="175"/>
      <c r="D888" s="245"/>
      <c r="E888" s="176"/>
      <c r="F888" s="176"/>
      <c r="G888" s="176"/>
      <c r="H888" s="176"/>
      <c r="I888" s="177" t="s">
        <v>1284</v>
      </c>
      <c r="J888" s="138" t="s">
        <v>224</v>
      </c>
      <c r="K888" s="214">
        <f t="shared" si="15"/>
        <v>500</v>
      </c>
      <c r="L888" s="181"/>
      <c r="M888" s="181"/>
    </row>
    <row r="889" spans="1:13" ht="50.25" customHeight="1" x14ac:dyDescent="0.2">
      <c r="A889" s="246"/>
      <c r="B889" s="186"/>
      <c r="C889" s="187"/>
      <c r="D889" s="246"/>
      <c r="E889" s="188"/>
      <c r="F889" s="188"/>
      <c r="G889" s="188"/>
      <c r="H889" s="188"/>
      <c r="I889" s="202"/>
      <c r="J889" s="203"/>
      <c r="K889" s="247">
        <f>SUM(K885:K888)</f>
        <v>10000</v>
      </c>
      <c r="L889" s="193"/>
      <c r="M889" s="193"/>
    </row>
    <row r="890" spans="1:13" x14ac:dyDescent="0.2">
      <c r="A890" s="252">
        <v>225</v>
      </c>
      <c r="B890" s="164" t="s">
        <v>1285</v>
      </c>
      <c r="C890" s="165"/>
      <c r="D890" s="252" t="s">
        <v>107</v>
      </c>
      <c r="E890" s="166"/>
      <c r="F890" s="166"/>
      <c r="G890" s="166"/>
      <c r="H890" s="248"/>
      <c r="I890" s="217" t="s">
        <v>1286</v>
      </c>
      <c r="J890" s="386" t="s">
        <v>224</v>
      </c>
      <c r="K890" s="268">
        <f>10000*80%</f>
        <v>8000</v>
      </c>
      <c r="L890" s="195" t="s">
        <v>111</v>
      </c>
      <c r="M890" s="171" t="s">
        <v>1287</v>
      </c>
    </row>
    <row r="891" spans="1:13" x14ac:dyDescent="0.2">
      <c r="A891" s="245"/>
      <c r="B891" s="174"/>
      <c r="C891" s="175"/>
      <c r="D891" s="245"/>
      <c r="E891" s="176"/>
      <c r="F891" s="176"/>
      <c r="G891" s="176"/>
      <c r="H891" s="250"/>
      <c r="I891" s="167" t="s">
        <v>1288</v>
      </c>
      <c r="J891" s="207" t="s">
        <v>224</v>
      </c>
      <c r="K891" s="382">
        <f>10000*5%</f>
        <v>500</v>
      </c>
      <c r="L891" s="197"/>
      <c r="M891" s="181"/>
    </row>
    <row r="892" spans="1:13" x14ac:dyDescent="0.2">
      <c r="A892" s="245"/>
      <c r="B892" s="174"/>
      <c r="C892" s="175"/>
      <c r="D892" s="245"/>
      <c r="E892" s="176"/>
      <c r="F892" s="176"/>
      <c r="G892" s="176"/>
      <c r="H892" s="250"/>
      <c r="I892" s="177" t="s">
        <v>1289</v>
      </c>
      <c r="J892" s="207" t="s">
        <v>224</v>
      </c>
      <c r="K892" s="196">
        <f t="shared" ref="K892:K894" si="16">10000*5%</f>
        <v>500</v>
      </c>
      <c r="L892" s="197"/>
      <c r="M892" s="181"/>
    </row>
    <row r="893" spans="1:13" x14ac:dyDescent="0.2">
      <c r="A893" s="245"/>
      <c r="B893" s="174"/>
      <c r="C893" s="175"/>
      <c r="D893" s="245"/>
      <c r="E893" s="176"/>
      <c r="F893" s="176"/>
      <c r="G893" s="176"/>
      <c r="H893" s="250"/>
      <c r="I893" s="177" t="s">
        <v>1290</v>
      </c>
      <c r="J893" s="207" t="s">
        <v>224</v>
      </c>
      <c r="K893" s="196">
        <f t="shared" si="16"/>
        <v>500</v>
      </c>
      <c r="L893" s="197"/>
      <c r="M893" s="181"/>
    </row>
    <row r="894" spans="1:13" x14ac:dyDescent="0.2">
      <c r="A894" s="245"/>
      <c r="B894" s="174"/>
      <c r="C894" s="175"/>
      <c r="D894" s="245"/>
      <c r="E894" s="176"/>
      <c r="F894" s="176"/>
      <c r="G894" s="176"/>
      <c r="H894" s="250"/>
      <c r="I894" s="177" t="s">
        <v>1291</v>
      </c>
      <c r="J894" s="207" t="s">
        <v>224</v>
      </c>
      <c r="K894" s="196">
        <f t="shared" si="16"/>
        <v>500</v>
      </c>
      <c r="L894" s="197"/>
      <c r="M894" s="181"/>
    </row>
    <row r="895" spans="1:13" x14ac:dyDescent="0.2">
      <c r="A895" s="246"/>
      <c r="B895" s="186"/>
      <c r="C895" s="187"/>
      <c r="D895" s="246"/>
      <c r="E895" s="188"/>
      <c r="F895" s="188"/>
      <c r="G895" s="188"/>
      <c r="H895" s="251"/>
      <c r="I895" s="202"/>
      <c r="J895" s="203"/>
      <c r="K895" s="247">
        <f>SUM(K890:K894)</f>
        <v>10000</v>
      </c>
      <c r="L895" s="205"/>
      <c r="M895" s="193"/>
    </row>
    <row r="896" spans="1:13" ht="54" customHeight="1" x14ac:dyDescent="0.2">
      <c r="A896" s="411">
        <v>226</v>
      </c>
      <c r="B896" s="255" t="s">
        <v>1292</v>
      </c>
      <c r="C896" s="256" t="s">
        <v>1292</v>
      </c>
      <c r="D896" s="257" t="s">
        <v>107</v>
      </c>
      <c r="E896" s="258"/>
      <c r="F896" s="258"/>
      <c r="G896" s="258"/>
      <c r="H896" s="259"/>
      <c r="I896" s="282" t="s">
        <v>1293</v>
      </c>
      <c r="J896" s="312" t="s">
        <v>224</v>
      </c>
      <c r="K896" s="284">
        <v>8000</v>
      </c>
      <c r="L896" s="306" t="s">
        <v>111</v>
      </c>
      <c r="M896" s="189" t="s">
        <v>1294</v>
      </c>
    </row>
    <row r="897" spans="1:67" ht="72.75" customHeight="1" x14ac:dyDescent="0.2">
      <c r="A897" s="411">
        <v>227</v>
      </c>
      <c r="B897" s="255" t="s">
        <v>1295</v>
      </c>
      <c r="C897" s="256" t="s">
        <v>1295</v>
      </c>
      <c r="D897" s="257" t="s">
        <v>107</v>
      </c>
      <c r="E897" s="258"/>
      <c r="F897" s="258"/>
      <c r="G897" s="258"/>
      <c r="H897" s="259"/>
      <c r="I897" s="167" t="s">
        <v>1296</v>
      </c>
      <c r="J897" s="138" t="s">
        <v>224</v>
      </c>
      <c r="K897" s="382">
        <v>18000</v>
      </c>
      <c r="L897" s="306" t="s">
        <v>111</v>
      </c>
      <c r="M897" s="189" t="s">
        <v>1297</v>
      </c>
    </row>
    <row r="898" spans="1:67" ht="65.25" customHeight="1" x14ac:dyDescent="0.2">
      <c r="A898" s="411">
        <v>228</v>
      </c>
      <c r="B898" s="255" t="s">
        <v>1298</v>
      </c>
      <c r="C898" s="256" t="s">
        <v>1298</v>
      </c>
      <c r="D898" s="257" t="s">
        <v>107</v>
      </c>
      <c r="E898" s="258"/>
      <c r="F898" s="258"/>
      <c r="G898" s="258"/>
      <c r="H898" s="259"/>
      <c r="I898" s="282" t="s">
        <v>1299</v>
      </c>
      <c r="J898" s="312" t="s">
        <v>224</v>
      </c>
      <c r="K898" s="284">
        <v>50000</v>
      </c>
      <c r="L898" s="306" t="s">
        <v>111</v>
      </c>
      <c r="M898" s="189" t="s">
        <v>1300</v>
      </c>
    </row>
    <row r="899" spans="1:67" x14ac:dyDescent="0.2">
      <c r="A899" s="252">
        <v>229</v>
      </c>
      <c r="B899" s="164" t="s">
        <v>1301</v>
      </c>
      <c r="C899" s="165"/>
      <c r="D899" s="252" t="s">
        <v>107</v>
      </c>
      <c r="E899" s="166"/>
      <c r="F899" s="166"/>
      <c r="G899" s="166"/>
      <c r="H899" s="248"/>
      <c r="I899" s="261" t="s">
        <v>1302</v>
      </c>
      <c r="J899" s="386" t="s">
        <v>224</v>
      </c>
      <c r="K899" s="375">
        <f>63000*80%</f>
        <v>50400</v>
      </c>
      <c r="L899" s="195" t="s">
        <v>111</v>
      </c>
      <c r="M899" s="171" t="s">
        <v>1303</v>
      </c>
    </row>
    <row r="900" spans="1:67" x14ac:dyDescent="0.2">
      <c r="A900" s="245"/>
      <c r="B900" s="174"/>
      <c r="C900" s="175"/>
      <c r="D900" s="245"/>
      <c r="E900" s="176"/>
      <c r="F900" s="176"/>
      <c r="G900" s="176"/>
      <c r="H900" s="250"/>
      <c r="I900" s="177" t="s">
        <v>1304</v>
      </c>
      <c r="J900" s="207" t="s">
        <v>224</v>
      </c>
      <c r="K900" s="412">
        <f>63000*20%</f>
        <v>12600</v>
      </c>
      <c r="L900" s="197"/>
      <c r="M900" s="181"/>
    </row>
    <row r="901" spans="1:67" x14ac:dyDescent="0.2">
      <c r="A901" s="246"/>
      <c r="B901" s="186"/>
      <c r="C901" s="187"/>
      <c r="D901" s="246"/>
      <c r="E901" s="188"/>
      <c r="F901" s="188"/>
      <c r="G901" s="188"/>
      <c r="H901" s="251"/>
      <c r="I901" s="202"/>
      <c r="J901" s="381"/>
      <c r="K901" s="413">
        <f>SUM(K899:K900)</f>
        <v>63000</v>
      </c>
      <c r="L901" s="205"/>
      <c r="M901" s="193"/>
    </row>
    <row r="902" spans="1:67" x14ac:dyDescent="0.2">
      <c r="A902" s="252">
        <v>230</v>
      </c>
      <c r="B902" s="164" t="s">
        <v>1305</v>
      </c>
      <c r="C902" s="165"/>
      <c r="D902" s="252" t="s">
        <v>163</v>
      </c>
      <c r="E902" s="166"/>
      <c r="F902" s="166"/>
      <c r="G902" s="166"/>
      <c r="H902" s="248" t="s">
        <v>137</v>
      </c>
      <c r="I902" s="167" t="s">
        <v>1306</v>
      </c>
      <c r="J902" s="138" t="s">
        <v>224</v>
      </c>
      <c r="K902" s="268">
        <f>193950*40%</f>
        <v>77580</v>
      </c>
      <c r="L902" s="195" t="s">
        <v>325</v>
      </c>
      <c r="M902" s="171" t="s">
        <v>1307</v>
      </c>
    </row>
    <row r="903" spans="1:67" x14ac:dyDescent="0.2">
      <c r="A903" s="245"/>
      <c r="B903" s="174"/>
      <c r="C903" s="175"/>
      <c r="D903" s="245"/>
      <c r="E903" s="176"/>
      <c r="F903" s="176"/>
      <c r="G903" s="176"/>
      <c r="H903" s="250"/>
      <c r="I903" s="177" t="s">
        <v>1308</v>
      </c>
      <c r="J903" s="207" t="s">
        <v>224</v>
      </c>
      <c r="K903" s="382">
        <f>193950*30%</f>
        <v>58185</v>
      </c>
      <c r="L903" s="197"/>
      <c r="M903" s="181"/>
    </row>
    <row r="904" spans="1:67" x14ac:dyDescent="0.2">
      <c r="A904" s="245"/>
      <c r="B904" s="174"/>
      <c r="C904" s="175"/>
      <c r="D904" s="245"/>
      <c r="E904" s="176"/>
      <c r="F904" s="176"/>
      <c r="G904" s="176"/>
      <c r="H904" s="250"/>
      <c r="I904" s="177" t="s">
        <v>1238</v>
      </c>
      <c r="J904" s="207" t="s">
        <v>224</v>
      </c>
      <c r="K904" s="214">
        <f>193950*30%</f>
        <v>58185</v>
      </c>
      <c r="L904" s="197"/>
      <c r="M904" s="181"/>
    </row>
    <row r="905" spans="1:67" x14ac:dyDescent="0.2">
      <c r="A905" s="246"/>
      <c r="B905" s="186"/>
      <c r="C905" s="187"/>
      <c r="D905" s="246"/>
      <c r="E905" s="188"/>
      <c r="F905" s="188"/>
      <c r="G905" s="188"/>
      <c r="H905" s="251"/>
      <c r="I905" s="202"/>
      <c r="J905" s="138"/>
      <c r="K905" s="382">
        <f>SUM(K902:K904)</f>
        <v>193950</v>
      </c>
      <c r="L905" s="205"/>
      <c r="M905" s="193"/>
    </row>
    <row r="906" spans="1:67" ht="24" customHeight="1" x14ac:dyDescent="0.2">
      <c r="A906" s="252">
        <v>231</v>
      </c>
      <c r="B906" s="164" t="s">
        <v>1309</v>
      </c>
      <c r="C906" s="165"/>
      <c r="D906" s="252" t="s">
        <v>25</v>
      </c>
      <c r="E906" s="166"/>
      <c r="F906" s="166"/>
      <c r="G906" s="166" t="s">
        <v>1153</v>
      </c>
      <c r="H906" s="166"/>
      <c r="I906" s="261" t="s">
        <v>1310</v>
      </c>
      <c r="J906" s="353" t="s">
        <v>224</v>
      </c>
      <c r="K906" s="268">
        <f>400000*60%</f>
        <v>240000</v>
      </c>
      <c r="L906" s="171" t="s">
        <v>1153</v>
      </c>
      <c r="M906" s="171" t="s">
        <v>1311</v>
      </c>
    </row>
    <row r="907" spans="1:67" ht="24" customHeight="1" x14ac:dyDescent="0.2">
      <c r="A907" s="245"/>
      <c r="B907" s="174"/>
      <c r="C907" s="175"/>
      <c r="D907" s="245"/>
      <c r="E907" s="176"/>
      <c r="F907" s="176"/>
      <c r="G907" s="176"/>
      <c r="H907" s="176"/>
      <c r="I907" s="184" t="s">
        <v>1304</v>
      </c>
      <c r="J907" s="226" t="s">
        <v>224</v>
      </c>
      <c r="K907" s="363">
        <f>400000*20%</f>
        <v>80000</v>
      </c>
      <c r="L907" s="181"/>
      <c r="M907" s="181"/>
    </row>
    <row r="908" spans="1:67" ht="24" customHeight="1" x14ac:dyDescent="0.2">
      <c r="A908" s="245"/>
      <c r="B908" s="174"/>
      <c r="C908" s="175"/>
      <c r="D908" s="245"/>
      <c r="E908" s="176"/>
      <c r="F908" s="176"/>
      <c r="G908" s="176"/>
      <c r="H908" s="176"/>
      <c r="I908" s="167" t="s">
        <v>1312</v>
      </c>
      <c r="J908" s="226" t="s">
        <v>224</v>
      </c>
      <c r="K908" s="214">
        <f>400000*20%</f>
        <v>80000</v>
      </c>
      <c r="L908" s="181"/>
      <c r="M908" s="181"/>
    </row>
    <row r="909" spans="1:67" ht="24" customHeight="1" x14ac:dyDescent="0.2">
      <c r="A909" s="246"/>
      <c r="B909" s="186"/>
      <c r="C909" s="187"/>
      <c r="D909" s="246"/>
      <c r="E909" s="188"/>
      <c r="F909" s="188"/>
      <c r="G909" s="188"/>
      <c r="H909" s="188"/>
      <c r="I909" s="202"/>
      <c r="J909" s="203"/>
      <c r="K909" s="363">
        <f>SUM(K906:K908)</f>
        <v>400000</v>
      </c>
      <c r="L909" s="193"/>
      <c r="M909" s="193"/>
    </row>
    <row r="910" spans="1:67" s="269" customFormat="1" ht="24" customHeight="1" x14ac:dyDescent="0.2">
      <c r="A910" s="411">
        <v>232</v>
      </c>
      <c r="B910" s="414" t="s">
        <v>1313</v>
      </c>
      <c r="C910" s="415"/>
      <c r="D910" s="308" t="s">
        <v>107</v>
      </c>
      <c r="E910" s="308"/>
      <c r="F910" s="308"/>
      <c r="G910" s="308"/>
      <c r="H910" s="308"/>
      <c r="I910" s="282" t="s">
        <v>1314</v>
      </c>
      <c r="J910" s="283" t="s">
        <v>224</v>
      </c>
      <c r="K910" s="284">
        <v>50000</v>
      </c>
      <c r="L910" s="306" t="s">
        <v>111</v>
      </c>
      <c r="M910" s="261" t="s">
        <v>1315</v>
      </c>
      <c r="N910" s="132"/>
      <c r="O910" s="132"/>
      <c r="P910" s="132"/>
      <c r="Q910" s="132"/>
      <c r="R910" s="132"/>
      <c r="S910" s="132"/>
      <c r="T910" s="132"/>
      <c r="U910" s="132"/>
      <c r="V910" s="132"/>
      <c r="W910" s="132"/>
      <c r="X910" s="132"/>
      <c r="Y910" s="132"/>
      <c r="Z910" s="132"/>
      <c r="AA910" s="132"/>
      <c r="AB910" s="132"/>
      <c r="AC910" s="132"/>
      <c r="AD910" s="132"/>
      <c r="AE910" s="132"/>
      <c r="AF910" s="132"/>
      <c r="AG910" s="132"/>
      <c r="AH910" s="132"/>
      <c r="AI910" s="132"/>
      <c r="AJ910" s="132"/>
      <c r="AK910" s="132"/>
      <c r="AL910" s="132"/>
      <c r="AM910" s="132"/>
      <c r="AN910" s="132"/>
      <c r="AO910" s="132"/>
      <c r="AP910" s="132"/>
      <c r="AQ910" s="132"/>
      <c r="AR910" s="132"/>
      <c r="AS910" s="132"/>
      <c r="AT910" s="132"/>
      <c r="AU910" s="132"/>
      <c r="AV910" s="132"/>
      <c r="AW910" s="132"/>
      <c r="AX910" s="132"/>
      <c r="AY910" s="132"/>
      <c r="AZ910" s="132"/>
      <c r="BA910" s="132"/>
      <c r="BB910" s="132"/>
      <c r="BC910" s="132"/>
      <c r="BD910" s="132"/>
      <c r="BE910" s="132"/>
      <c r="BF910" s="132"/>
      <c r="BG910" s="132"/>
      <c r="BH910" s="132"/>
      <c r="BI910" s="132"/>
      <c r="BJ910" s="132"/>
      <c r="BK910" s="132"/>
      <c r="BL910" s="132"/>
      <c r="BM910" s="132"/>
      <c r="BN910" s="132"/>
      <c r="BO910" s="132"/>
    </row>
    <row r="911" spans="1:67" s="269" customFormat="1" ht="24" customHeight="1" x14ac:dyDescent="0.2">
      <c r="A911" s="411">
        <v>233</v>
      </c>
      <c r="B911" s="414" t="s">
        <v>1316</v>
      </c>
      <c r="C911" s="415"/>
      <c r="D911" s="308" t="s">
        <v>107</v>
      </c>
      <c r="E911" s="308"/>
      <c r="F911" s="308"/>
      <c r="G911" s="308"/>
      <c r="H911" s="308"/>
      <c r="I911" s="282" t="s">
        <v>1314</v>
      </c>
      <c r="J911" s="283" t="s">
        <v>224</v>
      </c>
      <c r="K911" s="284">
        <v>63000</v>
      </c>
      <c r="L911" s="306" t="s">
        <v>111</v>
      </c>
      <c r="M911" s="261" t="s">
        <v>1317</v>
      </c>
      <c r="N911" s="132"/>
      <c r="O911" s="132"/>
      <c r="P911" s="132"/>
      <c r="Q911" s="132"/>
      <c r="R911" s="132"/>
      <c r="S911" s="132"/>
      <c r="T911" s="132"/>
      <c r="U911" s="132"/>
      <c r="V911" s="132"/>
      <c r="W911" s="132"/>
      <c r="X911" s="132"/>
      <c r="Y911" s="132"/>
      <c r="Z911" s="132"/>
      <c r="AA911" s="132"/>
      <c r="AB911" s="132"/>
      <c r="AC911" s="132"/>
      <c r="AD911" s="132"/>
      <c r="AE911" s="132"/>
      <c r="AF911" s="132"/>
      <c r="AG911" s="132"/>
      <c r="AH911" s="132"/>
      <c r="AI911" s="132"/>
      <c r="AJ911" s="132"/>
      <c r="AK911" s="132"/>
      <c r="AL911" s="132"/>
      <c r="AM911" s="132"/>
      <c r="AN911" s="132"/>
      <c r="AO911" s="132"/>
      <c r="AP911" s="132"/>
      <c r="AQ911" s="132"/>
      <c r="AR911" s="132"/>
      <c r="AS911" s="132"/>
      <c r="AT911" s="132"/>
      <c r="AU911" s="132"/>
      <c r="AV911" s="132"/>
      <c r="AW911" s="132"/>
      <c r="AX911" s="132"/>
      <c r="AY911" s="132"/>
      <c r="AZ911" s="132"/>
      <c r="BA911" s="132"/>
      <c r="BB911" s="132"/>
      <c r="BC911" s="132"/>
      <c r="BD911" s="132"/>
      <c r="BE911" s="132"/>
      <c r="BF911" s="132"/>
      <c r="BG911" s="132"/>
      <c r="BH911" s="132"/>
      <c r="BI911" s="132"/>
      <c r="BJ911" s="132"/>
      <c r="BK911" s="132"/>
      <c r="BL911" s="132"/>
      <c r="BM911" s="132"/>
      <c r="BN911" s="132"/>
      <c r="BO911" s="132"/>
    </row>
    <row r="912" spans="1:67" s="269" customFormat="1" ht="51" customHeight="1" x14ac:dyDescent="0.2">
      <c r="A912" s="411">
        <v>234</v>
      </c>
      <c r="B912" s="310" t="s">
        <v>1318</v>
      </c>
      <c r="C912" s="311"/>
      <c r="D912" s="308" t="s">
        <v>107</v>
      </c>
      <c r="E912" s="308"/>
      <c r="F912" s="308"/>
      <c r="G912" s="308"/>
      <c r="H912" s="308"/>
      <c r="I912" s="282" t="s">
        <v>1319</v>
      </c>
      <c r="J912" s="283" t="s">
        <v>224</v>
      </c>
      <c r="K912" s="284">
        <v>10000</v>
      </c>
      <c r="L912" s="306" t="s">
        <v>111</v>
      </c>
      <c r="M912" s="261" t="s">
        <v>1320</v>
      </c>
      <c r="N912" s="132"/>
      <c r="O912" s="132"/>
      <c r="P912" s="132"/>
      <c r="Q912" s="132"/>
      <c r="R912" s="132"/>
      <c r="S912" s="132"/>
      <c r="T912" s="132"/>
      <c r="U912" s="132"/>
      <c r="V912" s="132"/>
      <c r="W912" s="132"/>
      <c r="X912" s="132"/>
      <c r="Y912" s="132"/>
      <c r="Z912" s="132"/>
      <c r="AA912" s="132"/>
      <c r="AB912" s="132"/>
      <c r="AC912" s="132"/>
      <c r="AD912" s="132"/>
      <c r="AE912" s="132"/>
      <c r="AF912" s="132"/>
      <c r="AG912" s="132"/>
      <c r="AH912" s="132"/>
      <c r="AI912" s="132"/>
      <c r="AJ912" s="132"/>
      <c r="AK912" s="132"/>
      <c r="AL912" s="132"/>
      <c r="AM912" s="132"/>
      <c r="AN912" s="132"/>
      <c r="AO912" s="132"/>
      <c r="AP912" s="132"/>
      <c r="AQ912" s="132"/>
      <c r="AR912" s="132"/>
      <c r="AS912" s="132"/>
      <c r="AT912" s="132"/>
      <c r="AU912" s="132"/>
      <c r="AV912" s="132"/>
      <c r="AW912" s="132"/>
      <c r="AX912" s="132"/>
      <c r="AY912" s="132"/>
      <c r="AZ912" s="132"/>
      <c r="BA912" s="132"/>
      <c r="BB912" s="132"/>
      <c r="BC912" s="132"/>
      <c r="BD912" s="132"/>
      <c r="BE912" s="132"/>
      <c r="BF912" s="132"/>
      <c r="BG912" s="132"/>
      <c r="BH912" s="132"/>
      <c r="BI912" s="132"/>
      <c r="BJ912" s="132"/>
      <c r="BK912" s="132"/>
      <c r="BL912" s="132"/>
      <c r="BM912" s="132"/>
      <c r="BN912" s="132"/>
      <c r="BO912" s="132"/>
    </row>
    <row r="913" spans="1:67" s="269" customFormat="1" ht="24" customHeight="1" x14ac:dyDescent="0.2">
      <c r="A913" s="252">
        <v>235</v>
      </c>
      <c r="B913" s="265" t="s">
        <v>1321</v>
      </c>
      <c r="C913" s="266"/>
      <c r="D913" s="166" t="s">
        <v>107</v>
      </c>
      <c r="E913" s="166"/>
      <c r="F913" s="166"/>
      <c r="G913" s="166"/>
      <c r="H913" s="166" t="s">
        <v>164</v>
      </c>
      <c r="I913" s="217" t="s">
        <v>1322</v>
      </c>
      <c r="J913" s="267" t="s">
        <v>224</v>
      </c>
      <c r="K913" s="268">
        <f>50000*80%</f>
        <v>40000</v>
      </c>
      <c r="L913" s="171" t="s">
        <v>111</v>
      </c>
      <c r="M913" s="171" t="s">
        <v>1323</v>
      </c>
      <c r="N913" s="132"/>
      <c r="O913" s="132"/>
      <c r="P913" s="132"/>
      <c r="Q913" s="132"/>
      <c r="R913" s="132"/>
      <c r="S913" s="132"/>
      <c r="T913" s="132"/>
      <c r="U913" s="132"/>
      <c r="V913" s="132"/>
      <c r="W913" s="132"/>
      <c r="X913" s="132"/>
      <c r="Y913" s="132"/>
      <c r="Z913" s="132"/>
      <c r="AA913" s="132"/>
      <c r="AB913" s="132"/>
      <c r="AC913" s="132"/>
      <c r="AD913" s="132"/>
      <c r="AE913" s="132"/>
      <c r="AF913" s="132"/>
      <c r="AG913" s="132"/>
      <c r="AH913" s="132"/>
      <c r="AI913" s="132"/>
      <c r="AJ913" s="132"/>
      <c r="AK913" s="132"/>
      <c r="AL913" s="132"/>
      <c r="AM913" s="132"/>
      <c r="AN913" s="132"/>
      <c r="AO913" s="132"/>
      <c r="AP913" s="132"/>
      <c r="AQ913" s="132"/>
      <c r="AR913" s="132"/>
      <c r="AS913" s="132"/>
      <c r="AT913" s="132"/>
      <c r="AU913" s="132"/>
      <c r="AV913" s="132"/>
      <c r="AW913" s="132"/>
      <c r="AX913" s="132"/>
      <c r="AY913" s="132"/>
      <c r="AZ913" s="132"/>
      <c r="BA913" s="132"/>
      <c r="BB913" s="132"/>
      <c r="BC913" s="132"/>
      <c r="BD913" s="132"/>
      <c r="BE913" s="132"/>
      <c r="BF913" s="132"/>
      <c r="BG913" s="132"/>
      <c r="BH913" s="132"/>
      <c r="BI913" s="132"/>
      <c r="BJ913" s="132"/>
      <c r="BK913" s="132"/>
      <c r="BL913" s="132"/>
      <c r="BM913" s="132"/>
      <c r="BN913" s="132"/>
      <c r="BO913" s="132"/>
    </row>
    <row r="914" spans="1:67" s="269" customFormat="1" ht="24" customHeight="1" x14ac:dyDescent="0.2">
      <c r="A914" s="245"/>
      <c r="B914" s="270"/>
      <c r="C914" s="271"/>
      <c r="D914" s="176"/>
      <c r="E914" s="176"/>
      <c r="F914" s="176"/>
      <c r="G914" s="176"/>
      <c r="H914" s="176"/>
      <c r="I914" s="184" t="s">
        <v>1324</v>
      </c>
      <c r="J914" s="272" t="s">
        <v>224</v>
      </c>
      <c r="K914" s="214">
        <f>50000*20%</f>
        <v>10000</v>
      </c>
      <c r="L914" s="181"/>
      <c r="M914" s="181"/>
      <c r="N914" s="132"/>
      <c r="O914" s="132"/>
      <c r="P914" s="132"/>
      <c r="Q914" s="132"/>
      <c r="R914" s="132"/>
      <c r="S914" s="132"/>
      <c r="T914" s="132"/>
      <c r="U914" s="132"/>
      <c r="V914" s="132"/>
      <c r="W914" s="132"/>
      <c r="X914" s="132"/>
      <c r="Y914" s="132"/>
      <c r="Z914" s="132"/>
      <c r="AA914" s="132"/>
      <c r="AB914" s="132"/>
      <c r="AC914" s="132"/>
      <c r="AD914" s="132"/>
      <c r="AE914" s="132"/>
      <c r="AF914" s="132"/>
      <c r="AG914" s="132"/>
      <c r="AH914" s="132"/>
      <c r="AI914" s="132"/>
      <c r="AJ914" s="132"/>
      <c r="AK914" s="132"/>
      <c r="AL914" s="132"/>
      <c r="AM914" s="132"/>
      <c r="AN914" s="132"/>
      <c r="AO914" s="132"/>
      <c r="AP914" s="132"/>
      <c r="AQ914" s="132"/>
      <c r="AR914" s="132"/>
      <c r="AS914" s="132"/>
      <c r="AT914" s="132"/>
      <c r="AU914" s="132"/>
      <c r="AV914" s="132"/>
      <c r="AW914" s="132"/>
      <c r="AX914" s="132"/>
      <c r="AY914" s="132"/>
      <c r="AZ914" s="132"/>
      <c r="BA914" s="132"/>
      <c r="BB914" s="132"/>
      <c r="BC914" s="132"/>
      <c r="BD914" s="132"/>
      <c r="BE914" s="132"/>
      <c r="BF914" s="132"/>
      <c r="BG914" s="132"/>
      <c r="BH914" s="132"/>
      <c r="BI914" s="132"/>
      <c r="BJ914" s="132"/>
      <c r="BK914" s="132"/>
      <c r="BL914" s="132"/>
      <c r="BM914" s="132"/>
      <c r="BN914" s="132"/>
      <c r="BO914" s="132"/>
    </row>
    <row r="915" spans="1:67" s="269" customFormat="1" ht="24" customHeight="1" x14ac:dyDescent="0.2">
      <c r="A915" s="246"/>
      <c r="B915" s="273"/>
      <c r="C915" s="274"/>
      <c r="D915" s="188"/>
      <c r="E915" s="188"/>
      <c r="F915" s="188"/>
      <c r="G915" s="188"/>
      <c r="H915" s="188"/>
      <c r="I915" s="202"/>
      <c r="J915" s="275"/>
      <c r="K915" s="247">
        <f>SUM(K913:K914)</f>
        <v>50000</v>
      </c>
      <c r="L915" s="193"/>
      <c r="M915" s="193"/>
      <c r="N915" s="132"/>
      <c r="O915" s="132"/>
      <c r="P915" s="132"/>
      <c r="Q915" s="132"/>
      <c r="R915" s="132"/>
      <c r="S915" s="132"/>
      <c r="T915" s="132"/>
      <c r="U915" s="132"/>
      <c r="V915" s="132"/>
      <c r="W915" s="132"/>
      <c r="X915" s="132"/>
      <c r="Y915" s="132"/>
      <c r="Z915" s="132"/>
      <c r="AA915" s="132"/>
      <c r="AB915" s="132"/>
      <c r="AC915" s="132"/>
      <c r="AD915" s="132"/>
      <c r="AE915" s="132"/>
      <c r="AF915" s="132"/>
      <c r="AG915" s="132"/>
      <c r="AH915" s="132"/>
      <c r="AI915" s="132"/>
      <c r="AJ915" s="132"/>
      <c r="AK915" s="132"/>
      <c r="AL915" s="132"/>
      <c r="AM915" s="132"/>
      <c r="AN915" s="132"/>
      <c r="AO915" s="132"/>
      <c r="AP915" s="132"/>
      <c r="AQ915" s="132"/>
      <c r="AR915" s="132"/>
      <c r="AS915" s="132"/>
      <c r="AT915" s="132"/>
      <c r="AU915" s="132"/>
      <c r="AV915" s="132"/>
      <c r="AW915" s="132"/>
      <c r="AX915" s="132"/>
      <c r="AY915" s="132"/>
      <c r="AZ915" s="132"/>
      <c r="BA915" s="132"/>
      <c r="BB915" s="132"/>
      <c r="BC915" s="132"/>
      <c r="BD915" s="132"/>
      <c r="BE915" s="132"/>
      <c r="BF915" s="132"/>
      <c r="BG915" s="132"/>
      <c r="BH915" s="132"/>
      <c r="BI915" s="132"/>
      <c r="BJ915" s="132"/>
      <c r="BK915" s="132"/>
      <c r="BL915" s="132"/>
      <c r="BM915" s="132"/>
      <c r="BN915" s="132"/>
      <c r="BO915" s="132"/>
    </row>
    <row r="916" spans="1:67" s="269" customFormat="1" ht="24" customHeight="1" x14ac:dyDescent="0.2">
      <c r="A916" s="252">
        <v>236</v>
      </c>
      <c r="B916" s="293" t="s">
        <v>1325</v>
      </c>
      <c r="C916" s="294"/>
      <c r="D916" s="166" t="s">
        <v>107</v>
      </c>
      <c r="E916" s="166"/>
      <c r="F916" s="166"/>
      <c r="G916" s="166"/>
      <c r="H916" s="166"/>
      <c r="I916" s="276" t="s">
        <v>1326</v>
      </c>
      <c r="J916" s="277" t="s">
        <v>224</v>
      </c>
      <c r="K916" s="278">
        <f>10000*50%</f>
        <v>5000</v>
      </c>
      <c r="L916" s="171" t="s">
        <v>111</v>
      </c>
      <c r="M916" s="171" t="s">
        <v>1327</v>
      </c>
      <c r="N916" s="132"/>
      <c r="O916" s="132"/>
      <c r="P916" s="132"/>
      <c r="Q916" s="132"/>
      <c r="R916" s="132"/>
      <c r="S916" s="132"/>
      <c r="T916" s="132"/>
      <c r="U916" s="132"/>
      <c r="V916" s="132"/>
      <c r="W916" s="132"/>
      <c r="X916" s="132"/>
      <c r="Y916" s="132"/>
      <c r="Z916" s="132"/>
      <c r="AA916" s="132"/>
      <c r="AB916" s="132"/>
      <c r="AC916" s="132"/>
      <c r="AD916" s="132"/>
      <c r="AE916" s="132"/>
      <c r="AF916" s="132"/>
      <c r="AG916" s="132"/>
      <c r="AH916" s="132"/>
      <c r="AI916" s="132"/>
      <c r="AJ916" s="132"/>
      <c r="AK916" s="132"/>
      <c r="AL916" s="132"/>
      <c r="AM916" s="132"/>
      <c r="AN916" s="132"/>
      <c r="AO916" s="132"/>
      <c r="AP916" s="132"/>
      <c r="AQ916" s="132"/>
      <c r="AR916" s="132"/>
      <c r="AS916" s="132"/>
      <c r="AT916" s="132"/>
      <c r="AU916" s="132"/>
      <c r="AV916" s="132"/>
      <c r="AW916" s="132"/>
      <c r="AX916" s="132"/>
      <c r="AY916" s="132"/>
      <c r="AZ916" s="132"/>
      <c r="BA916" s="132"/>
      <c r="BB916" s="132"/>
      <c r="BC916" s="132"/>
      <c r="BD916" s="132"/>
      <c r="BE916" s="132"/>
      <c r="BF916" s="132"/>
      <c r="BG916" s="132"/>
      <c r="BH916" s="132"/>
      <c r="BI916" s="132"/>
      <c r="BJ916" s="132"/>
      <c r="BK916" s="132"/>
      <c r="BL916" s="132"/>
      <c r="BM916" s="132"/>
      <c r="BN916" s="132"/>
      <c r="BO916" s="132"/>
    </row>
    <row r="917" spans="1:67" s="269" customFormat="1" ht="24" customHeight="1" x14ac:dyDescent="0.2">
      <c r="A917" s="245"/>
      <c r="B917" s="288"/>
      <c r="C917" s="289"/>
      <c r="D917" s="176"/>
      <c r="E917" s="176"/>
      <c r="F917" s="176"/>
      <c r="G917" s="176"/>
      <c r="H917" s="176"/>
      <c r="I917" s="184" t="s">
        <v>1328</v>
      </c>
      <c r="J917" s="272" t="s">
        <v>224</v>
      </c>
      <c r="K917" s="214">
        <f>10000*10%</f>
        <v>1000</v>
      </c>
      <c r="L917" s="181"/>
      <c r="M917" s="181"/>
      <c r="N917" s="132"/>
      <c r="O917" s="132"/>
      <c r="P917" s="132"/>
      <c r="Q917" s="132"/>
      <c r="R917" s="132"/>
      <c r="S917" s="132"/>
      <c r="T917" s="132"/>
      <c r="U917" s="132"/>
      <c r="V917" s="132"/>
      <c r="W917" s="132"/>
      <c r="X917" s="132"/>
      <c r="Y917" s="132"/>
      <c r="Z917" s="132"/>
      <c r="AA917" s="132"/>
      <c r="AB917" s="132"/>
      <c r="AC917" s="132"/>
      <c r="AD917" s="132"/>
      <c r="AE917" s="132"/>
      <c r="AF917" s="132"/>
      <c r="AG917" s="132"/>
      <c r="AH917" s="132"/>
      <c r="AI917" s="132"/>
      <c r="AJ917" s="132"/>
      <c r="AK917" s="132"/>
      <c r="AL917" s="132"/>
      <c r="AM917" s="132"/>
      <c r="AN917" s="132"/>
      <c r="AO917" s="132"/>
      <c r="AP917" s="132"/>
      <c r="AQ917" s="132"/>
      <c r="AR917" s="132"/>
      <c r="AS917" s="132"/>
      <c r="AT917" s="132"/>
      <c r="AU917" s="132"/>
      <c r="AV917" s="132"/>
      <c r="AW917" s="132"/>
      <c r="AX917" s="132"/>
      <c r="AY917" s="132"/>
      <c r="AZ917" s="132"/>
      <c r="BA917" s="132"/>
      <c r="BB917" s="132"/>
      <c r="BC917" s="132"/>
      <c r="BD917" s="132"/>
      <c r="BE917" s="132"/>
      <c r="BF917" s="132"/>
      <c r="BG917" s="132"/>
      <c r="BH917" s="132"/>
      <c r="BI917" s="132"/>
      <c r="BJ917" s="132"/>
      <c r="BK917" s="132"/>
      <c r="BL917" s="132"/>
      <c r="BM917" s="132"/>
      <c r="BN917" s="132"/>
      <c r="BO917" s="132"/>
    </row>
    <row r="918" spans="1:67" s="269" customFormat="1" ht="24" customHeight="1" x14ac:dyDescent="0.2">
      <c r="A918" s="245"/>
      <c r="B918" s="288"/>
      <c r="C918" s="289"/>
      <c r="D918" s="176"/>
      <c r="E918" s="176"/>
      <c r="F918" s="176"/>
      <c r="G918" s="176"/>
      <c r="H918" s="176"/>
      <c r="I918" s="184" t="s">
        <v>1329</v>
      </c>
      <c r="J918" s="272" t="s">
        <v>224</v>
      </c>
      <c r="K918" s="214">
        <f>10000*10%</f>
        <v>1000</v>
      </c>
      <c r="L918" s="181"/>
      <c r="M918" s="181"/>
      <c r="N918" s="132"/>
      <c r="O918" s="132"/>
      <c r="P918" s="132"/>
      <c r="Q918" s="132"/>
      <c r="R918" s="132"/>
      <c r="S918" s="132"/>
      <c r="T918" s="132"/>
      <c r="U918" s="132"/>
      <c r="V918" s="132"/>
      <c r="W918" s="132"/>
      <c r="X918" s="132"/>
      <c r="Y918" s="132"/>
      <c r="Z918" s="132"/>
      <c r="AA918" s="132"/>
      <c r="AB918" s="132"/>
      <c r="AC918" s="132"/>
      <c r="AD918" s="132"/>
      <c r="AE918" s="132"/>
      <c r="AF918" s="132"/>
      <c r="AG918" s="132"/>
      <c r="AH918" s="132"/>
      <c r="AI918" s="132"/>
      <c r="AJ918" s="132"/>
      <c r="AK918" s="132"/>
      <c r="AL918" s="132"/>
      <c r="AM918" s="132"/>
      <c r="AN918" s="132"/>
      <c r="AO918" s="132"/>
      <c r="AP918" s="132"/>
      <c r="AQ918" s="132"/>
      <c r="AR918" s="132"/>
      <c r="AS918" s="132"/>
      <c r="AT918" s="132"/>
      <c r="AU918" s="132"/>
      <c r="AV918" s="132"/>
      <c r="AW918" s="132"/>
      <c r="AX918" s="132"/>
      <c r="AY918" s="132"/>
      <c r="AZ918" s="132"/>
      <c r="BA918" s="132"/>
      <c r="BB918" s="132"/>
      <c r="BC918" s="132"/>
      <c r="BD918" s="132"/>
      <c r="BE918" s="132"/>
      <c r="BF918" s="132"/>
      <c r="BG918" s="132"/>
      <c r="BH918" s="132"/>
      <c r="BI918" s="132"/>
      <c r="BJ918" s="132"/>
      <c r="BK918" s="132"/>
      <c r="BL918" s="132"/>
      <c r="BM918" s="132"/>
      <c r="BN918" s="132"/>
      <c r="BO918" s="132"/>
    </row>
    <row r="919" spans="1:67" s="269" customFormat="1" ht="24" customHeight="1" x14ac:dyDescent="0.2">
      <c r="A919" s="245"/>
      <c r="B919" s="288"/>
      <c r="C919" s="289"/>
      <c r="D919" s="176"/>
      <c r="E919" s="176"/>
      <c r="F919" s="176"/>
      <c r="G919" s="176"/>
      <c r="H919" s="176"/>
      <c r="I919" s="184" t="s">
        <v>1330</v>
      </c>
      <c r="J919" s="272" t="s">
        <v>224</v>
      </c>
      <c r="K919" s="214">
        <f t="shared" ref="K919:K921" si="17">10000*10%</f>
        <v>1000</v>
      </c>
      <c r="L919" s="181"/>
      <c r="M919" s="181"/>
      <c r="N919" s="132"/>
      <c r="O919" s="132"/>
      <c r="P919" s="132"/>
      <c r="Q919" s="132"/>
      <c r="R919" s="132"/>
      <c r="S919" s="132"/>
      <c r="T919" s="132"/>
      <c r="U919" s="132"/>
      <c r="V919" s="132"/>
      <c r="W919" s="132"/>
      <c r="X919" s="132"/>
      <c r="Y919" s="132"/>
      <c r="Z919" s="132"/>
      <c r="AA919" s="132"/>
      <c r="AB919" s="132"/>
      <c r="AC919" s="132"/>
      <c r="AD919" s="132"/>
      <c r="AE919" s="132"/>
      <c r="AF919" s="132"/>
      <c r="AG919" s="132"/>
      <c r="AH919" s="132"/>
      <c r="AI919" s="132"/>
      <c r="AJ919" s="132"/>
      <c r="AK919" s="132"/>
      <c r="AL919" s="132"/>
      <c r="AM919" s="132"/>
      <c r="AN919" s="132"/>
      <c r="AO919" s="132"/>
      <c r="AP919" s="132"/>
      <c r="AQ919" s="132"/>
      <c r="AR919" s="132"/>
      <c r="AS919" s="132"/>
      <c r="AT919" s="132"/>
      <c r="AU919" s="132"/>
      <c r="AV919" s="132"/>
      <c r="AW919" s="132"/>
      <c r="AX919" s="132"/>
      <c r="AY919" s="132"/>
      <c r="AZ919" s="132"/>
      <c r="BA919" s="132"/>
      <c r="BB919" s="132"/>
      <c r="BC919" s="132"/>
      <c r="BD919" s="132"/>
      <c r="BE919" s="132"/>
      <c r="BF919" s="132"/>
      <c r="BG919" s="132"/>
      <c r="BH919" s="132"/>
      <c r="BI919" s="132"/>
      <c r="BJ919" s="132"/>
      <c r="BK919" s="132"/>
      <c r="BL919" s="132"/>
      <c r="BM919" s="132"/>
      <c r="BN919" s="132"/>
      <c r="BO919" s="132"/>
    </row>
    <row r="920" spans="1:67" s="269" customFormat="1" ht="24" customHeight="1" x14ac:dyDescent="0.2">
      <c r="A920" s="245"/>
      <c r="B920" s="288"/>
      <c r="C920" s="289"/>
      <c r="D920" s="176"/>
      <c r="E920" s="176"/>
      <c r="F920" s="176"/>
      <c r="G920" s="176"/>
      <c r="H920" s="176"/>
      <c r="I920" s="184" t="s">
        <v>1331</v>
      </c>
      <c r="J920" s="272" t="s">
        <v>224</v>
      </c>
      <c r="K920" s="214">
        <f t="shared" si="17"/>
        <v>1000</v>
      </c>
      <c r="L920" s="181"/>
      <c r="M920" s="181"/>
      <c r="N920" s="132"/>
      <c r="O920" s="132"/>
      <c r="P920" s="132"/>
      <c r="Q920" s="132"/>
      <c r="R920" s="132"/>
      <c r="S920" s="132"/>
      <c r="T920" s="132"/>
      <c r="U920" s="132"/>
      <c r="V920" s="132"/>
      <c r="W920" s="132"/>
      <c r="X920" s="132"/>
      <c r="Y920" s="132"/>
      <c r="Z920" s="132"/>
      <c r="AA920" s="132"/>
      <c r="AB920" s="132"/>
      <c r="AC920" s="132"/>
      <c r="AD920" s="132"/>
      <c r="AE920" s="132"/>
      <c r="AF920" s="132"/>
      <c r="AG920" s="132"/>
      <c r="AH920" s="132"/>
      <c r="AI920" s="132"/>
      <c r="AJ920" s="132"/>
      <c r="AK920" s="132"/>
      <c r="AL920" s="132"/>
      <c r="AM920" s="132"/>
      <c r="AN920" s="132"/>
      <c r="AO920" s="132"/>
      <c r="AP920" s="132"/>
      <c r="AQ920" s="132"/>
      <c r="AR920" s="132"/>
      <c r="AS920" s="132"/>
      <c r="AT920" s="132"/>
      <c r="AU920" s="132"/>
      <c r="AV920" s="132"/>
      <c r="AW920" s="132"/>
      <c r="AX920" s="132"/>
      <c r="AY920" s="132"/>
      <c r="AZ920" s="132"/>
      <c r="BA920" s="132"/>
      <c r="BB920" s="132"/>
      <c r="BC920" s="132"/>
      <c r="BD920" s="132"/>
      <c r="BE920" s="132"/>
      <c r="BF920" s="132"/>
      <c r="BG920" s="132"/>
      <c r="BH920" s="132"/>
      <c r="BI920" s="132"/>
      <c r="BJ920" s="132"/>
      <c r="BK920" s="132"/>
      <c r="BL920" s="132"/>
      <c r="BM920" s="132"/>
      <c r="BN920" s="132"/>
      <c r="BO920" s="132"/>
    </row>
    <row r="921" spans="1:67" s="269" customFormat="1" ht="24" customHeight="1" x14ac:dyDescent="0.2">
      <c r="A921" s="245"/>
      <c r="B921" s="288"/>
      <c r="C921" s="289"/>
      <c r="D921" s="176"/>
      <c r="E921" s="176"/>
      <c r="F921" s="176"/>
      <c r="G921" s="176"/>
      <c r="H921" s="176"/>
      <c r="I921" s="177" t="s">
        <v>1332</v>
      </c>
      <c r="J921" s="300" t="s">
        <v>224</v>
      </c>
      <c r="K921" s="214">
        <f t="shared" si="17"/>
        <v>1000</v>
      </c>
      <c r="L921" s="181"/>
      <c r="M921" s="181"/>
      <c r="N921" s="132"/>
      <c r="O921" s="132"/>
      <c r="P921" s="132"/>
      <c r="Q921" s="132"/>
      <c r="R921" s="132"/>
      <c r="S921" s="132"/>
      <c r="T921" s="132"/>
      <c r="U921" s="132"/>
      <c r="V921" s="132"/>
      <c r="W921" s="132"/>
      <c r="X921" s="132"/>
      <c r="Y921" s="132"/>
      <c r="Z921" s="132"/>
      <c r="AA921" s="132"/>
      <c r="AB921" s="132"/>
      <c r="AC921" s="132"/>
      <c r="AD921" s="132"/>
      <c r="AE921" s="132"/>
      <c r="AF921" s="132"/>
      <c r="AG921" s="132"/>
      <c r="AH921" s="132"/>
      <c r="AI921" s="132"/>
      <c r="AJ921" s="132"/>
      <c r="AK921" s="132"/>
      <c r="AL921" s="132"/>
      <c r="AM921" s="132"/>
      <c r="AN921" s="132"/>
      <c r="AO921" s="132"/>
      <c r="AP921" s="132"/>
      <c r="AQ921" s="132"/>
      <c r="AR921" s="132"/>
      <c r="AS921" s="132"/>
      <c r="AT921" s="132"/>
      <c r="AU921" s="132"/>
      <c r="AV921" s="132"/>
      <c r="AW921" s="132"/>
      <c r="AX921" s="132"/>
      <c r="AY921" s="132"/>
      <c r="AZ921" s="132"/>
      <c r="BA921" s="132"/>
      <c r="BB921" s="132"/>
      <c r="BC921" s="132"/>
      <c r="BD921" s="132"/>
      <c r="BE921" s="132"/>
      <c r="BF921" s="132"/>
      <c r="BG921" s="132"/>
      <c r="BH921" s="132"/>
      <c r="BI921" s="132"/>
      <c r="BJ921" s="132"/>
      <c r="BK921" s="132"/>
      <c r="BL921" s="132"/>
      <c r="BM921" s="132"/>
      <c r="BN921" s="132"/>
      <c r="BO921" s="132"/>
    </row>
    <row r="922" spans="1:67" s="269" customFormat="1" ht="24" customHeight="1" x14ac:dyDescent="0.2">
      <c r="A922" s="245"/>
      <c r="B922" s="288"/>
      <c r="C922" s="289"/>
      <c r="D922" s="176"/>
      <c r="E922" s="176"/>
      <c r="F922" s="176"/>
      <c r="G922" s="176"/>
      <c r="H922" s="176"/>
      <c r="I922" s="177"/>
      <c r="J922" s="300"/>
      <c r="K922" s="196">
        <f>SUM(K916:K921)</f>
        <v>10000</v>
      </c>
      <c r="L922" s="181"/>
      <c r="M922" s="181"/>
      <c r="N922" s="132"/>
      <c r="O922" s="132"/>
      <c r="P922" s="132"/>
      <c r="Q922" s="132"/>
      <c r="R922" s="132"/>
      <c r="S922" s="132"/>
      <c r="T922" s="132"/>
      <c r="U922" s="132"/>
      <c r="V922" s="132"/>
      <c r="W922" s="132"/>
      <c r="X922" s="132"/>
      <c r="Y922" s="132"/>
      <c r="Z922" s="132"/>
      <c r="AA922" s="132"/>
      <c r="AB922" s="132"/>
      <c r="AC922" s="132"/>
      <c r="AD922" s="132"/>
      <c r="AE922" s="132"/>
      <c r="AF922" s="132"/>
      <c r="AG922" s="132"/>
      <c r="AH922" s="132"/>
      <c r="AI922" s="132"/>
      <c r="AJ922" s="132"/>
      <c r="AK922" s="132"/>
      <c r="AL922" s="132"/>
      <c r="AM922" s="132"/>
      <c r="AN922" s="132"/>
      <c r="AO922" s="132"/>
      <c r="AP922" s="132"/>
      <c r="AQ922" s="132"/>
      <c r="AR922" s="132"/>
      <c r="AS922" s="132"/>
      <c r="AT922" s="132"/>
      <c r="AU922" s="132"/>
      <c r="AV922" s="132"/>
      <c r="AW922" s="132"/>
      <c r="AX922" s="132"/>
      <c r="AY922" s="132"/>
      <c r="AZ922" s="132"/>
      <c r="BA922" s="132"/>
      <c r="BB922" s="132"/>
      <c r="BC922" s="132"/>
      <c r="BD922" s="132"/>
      <c r="BE922" s="132"/>
      <c r="BF922" s="132"/>
      <c r="BG922" s="132"/>
      <c r="BH922" s="132"/>
      <c r="BI922" s="132"/>
      <c r="BJ922" s="132"/>
      <c r="BK922" s="132"/>
      <c r="BL922" s="132"/>
      <c r="BM922" s="132"/>
      <c r="BN922" s="132"/>
      <c r="BO922" s="132"/>
    </row>
    <row r="923" spans="1:67" s="269" customFormat="1" ht="50.25" customHeight="1" x14ac:dyDescent="0.2">
      <c r="A923" s="411">
        <v>237</v>
      </c>
      <c r="B923" s="310" t="s">
        <v>1333</v>
      </c>
      <c r="C923" s="311" t="s">
        <v>1333</v>
      </c>
      <c r="D923" s="308" t="s">
        <v>107</v>
      </c>
      <c r="E923" s="308"/>
      <c r="F923" s="308"/>
      <c r="G923" s="308"/>
      <c r="H923" s="336"/>
      <c r="I923" s="282" t="s">
        <v>1277</v>
      </c>
      <c r="J923" s="283" t="s">
        <v>224</v>
      </c>
      <c r="K923" s="416">
        <v>8000</v>
      </c>
      <c r="L923" s="282" t="s">
        <v>111</v>
      </c>
      <c r="M923" s="261" t="s">
        <v>1334</v>
      </c>
      <c r="N923" s="132"/>
      <c r="O923" s="132"/>
      <c r="P923" s="132"/>
      <c r="Q923" s="132"/>
      <c r="R923" s="132"/>
      <c r="S923" s="132"/>
      <c r="T923" s="132"/>
      <c r="U923" s="132"/>
      <c r="V923" s="132"/>
      <c r="W923" s="132"/>
      <c r="X923" s="132"/>
      <c r="Y923" s="132"/>
      <c r="Z923" s="132"/>
      <c r="AA923" s="132"/>
      <c r="AB923" s="132"/>
      <c r="AC923" s="132"/>
      <c r="AD923" s="132"/>
      <c r="AE923" s="132"/>
      <c r="AF923" s="132"/>
      <c r="AG923" s="132"/>
      <c r="AH923" s="132"/>
      <c r="AI923" s="132"/>
      <c r="AJ923" s="132"/>
      <c r="AK923" s="132"/>
      <c r="AL923" s="132"/>
      <c r="AM923" s="132"/>
      <c r="AN923" s="132"/>
      <c r="AO923" s="132"/>
      <c r="AP923" s="132"/>
      <c r="AQ923" s="132"/>
      <c r="AR923" s="132"/>
      <c r="AS923" s="132"/>
      <c r="AT923" s="132"/>
      <c r="AU923" s="132"/>
      <c r="AV923" s="132"/>
      <c r="AW923" s="132"/>
      <c r="AX923" s="132"/>
      <c r="AY923" s="132"/>
      <c r="AZ923" s="132"/>
      <c r="BA923" s="132"/>
      <c r="BB923" s="132"/>
    </row>
    <row r="924" spans="1:67" s="269" customFormat="1" ht="48" customHeight="1" x14ac:dyDescent="0.2">
      <c r="A924" s="262">
        <v>238</v>
      </c>
      <c r="B924" s="310" t="s">
        <v>1335</v>
      </c>
      <c r="C924" s="311" t="s">
        <v>1335</v>
      </c>
      <c r="D924" s="308" t="s">
        <v>107</v>
      </c>
      <c r="E924" s="308"/>
      <c r="F924" s="308"/>
      <c r="G924" s="308"/>
      <c r="H924" s="417"/>
      <c r="I924" s="217" t="s">
        <v>1277</v>
      </c>
      <c r="J924" s="267" t="s">
        <v>224</v>
      </c>
      <c r="K924" s="334">
        <v>8000</v>
      </c>
      <c r="L924" s="306" t="s">
        <v>111</v>
      </c>
      <c r="M924" s="261" t="s">
        <v>1336</v>
      </c>
      <c r="N924" s="132"/>
      <c r="O924" s="132"/>
      <c r="P924" s="132"/>
      <c r="Q924" s="132"/>
      <c r="R924" s="132"/>
      <c r="S924" s="132"/>
      <c r="T924" s="132"/>
      <c r="U924" s="132"/>
      <c r="V924" s="132"/>
      <c r="W924" s="132"/>
      <c r="X924" s="132"/>
      <c r="Y924" s="132"/>
      <c r="Z924" s="132"/>
      <c r="AA924" s="132"/>
      <c r="AB924" s="132"/>
      <c r="AC924" s="132"/>
      <c r="AD924" s="132"/>
      <c r="AE924" s="132"/>
      <c r="AF924" s="132"/>
      <c r="AG924" s="132"/>
      <c r="AH924" s="132"/>
      <c r="AI924" s="132"/>
      <c r="AJ924" s="132"/>
      <c r="AK924" s="132"/>
      <c r="AL924" s="132"/>
      <c r="AM924" s="132"/>
      <c r="AN924" s="132"/>
      <c r="AO924" s="132"/>
      <c r="AP924" s="132"/>
      <c r="AQ924" s="132"/>
      <c r="AR924" s="132"/>
      <c r="AS924" s="132"/>
      <c r="AT924" s="132"/>
      <c r="AU924" s="132"/>
      <c r="AV924" s="132"/>
      <c r="AW924" s="132"/>
      <c r="AX924" s="132"/>
      <c r="AY924" s="132"/>
      <c r="AZ924" s="132"/>
      <c r="BA924" s="132"/>
      <c r="BB924" s="132"/>
    </row>
    <row r="925" spans="1:67" s="269" customFormat="1" ht="48" customHeight="1" x14ac:dyDescent="0.2">
      <c r="A925" s="411">
        <v>239</v>
      </c>
      <c r="B925" s="396" t="s">
        <v>1337</v>
      </c>
      <c r="C925" s="396" t="s">
        <v>1337</v>
      </c>
      <c r="D925" s="336" t="s">
        <v>107</v>
      </c>
      <c r="E925" s="336"/>
      <c r="F925" s="336"/>
      <c r="G925" s="336"/>
      <c r="H925" s="336"/>
      <c r="I925" s="282" t="s">
        <v>1338</v>
      </c>
      <c r="J925" s="282" t="s">
        <v>224</v>
      </c>
      <c r="K925" s="284">
        <v>20000</v>
      </c>
      <c r="L925" s="282" t="s">
        <v>111</v>
      </c>
      <c r="M925" s="282" t="s">
        <v>1339</v>
      </c>
      <c r="N925" s="132"/>
      <c r="O925" s="132"/>
      <c r="P925" s="132"/>
      <c r="Q925" s="132"/>
      <c r="R925" s="132"/>
      <c r="S925" s="132"/>
      <c r="T925" s="132"/>
      <c r="U925" s="132"/>
      <c r="V925" s="132"/>
      <c r="W925" s="132"/>
      <c r="X925" s="132"/>
      <c r="Y925" s="132"/>
      <c r="Z925" s="132"/>
      <c r="AA925" s="132"/>
      <c r="AB925" s="132"/>
      <c r="AC925" s="132"/>
      <c r="AD925" s="132"/>
      <c r="AE925" s="132"/>
      <c r="AF925" s="132"/>
      <c r="AG925" s="132"/>
      <c r="AH925" s="132"/>
      <c r="AI925" s="132"/>
      <c r="AJ925" s="132"/>
      <c r="AK925" s="132"/>
      <c r="AL925" s="132"/>
      <c r="AM925" s="132"/>
      <c r="AN925" s="132"/>
      <c r="AO925" s="132"/>
      <c r="AP925" s="132"/>
      <c r="AQ925" s="132"/>
      <c r="AR925" s="132"/>
      <c r="AS925" s="132"/>
      <c r="AT925" s="132"/>
      <c r="AU925" s="132"/>
      <c r="AV925" s="132"/>
      <c r="AW925" s="132"/>
      <c r="AX925" s="132"/>
      <c r="AY925" s="132"/>
      <c r="AZ925" s="132"/>
      <c r="BA925" s="132"/>
      <c r="BB925" s="132"/>
    </row>
    <row r="926" spans="1:67" s="269" customFormat="1" ht="48" customHeight="1" x14ac:dyDescent="0.2">
      <c r="A926" s="411">
        <v>240</v>
      </c>
      <c r="B926" s="396" t="s">
        <v>1340</v>
      </c>
      <c r="C926" s="396" t="s">
        <v>1340</v>
      </c>
      <c r="D926" s="336" t="s">
        <v>107</v>
      </c>
      <c r="E926" s="336"/>
      <c r="F926" s="336"/>
      <c r="G926" s="336"/>
      <c r="H926" s="336"/>
      <c r="I926" s="282" t="s">
        <v>1338</v>
      </c>
      <c r="J926" s="282" t="s">
        <v>224</v>
      </c>
      <c r="K926" s="284">
        <v>20000</v>
      </c>
      <c r="L926" s="282" t="s">
        <v>111</v>
      </c>
      <c r="M926" s="282" t="s">
        <v>1341</v>
      </c>
      <c r="N926" s="132"/>
      <c r="O926" s="132"/>
      <c r="P926" s="132"/>
      <c r="Q926" s="132"/>
      <c r="R926" s="132"/>
      <c r="S926" s="132"/>
      <c r="T926" s="132"/>
      <c r="U926" s="132"/>
      <c r="V926" s="132"/>
      <c r="W926" s="132"/>
      <c r="X926" s="132"/>
      <c r="Y926" s="132"/>
      <c r="Z926" s="132"/>
      <c r="AA926" s="132"/>
      <c r="AB926" s="132"/>
      <c r="AC926" s="132"/>
      <c r="AD926" s="132"/>
      <c r="AE926" s="132"/>
      <c r="AF926" s="132"/>
      <c r="AG926" s="132"/>
      <c r="AH926" s="132"/>
      <c r="AI926" s="132"/>
      <c r="AJ926" s="132"/>
      <c r="AK926" s="132"/>
      <c r="AL926" s="132"/>
      <c r="AM926" s="132"/>
      <c r="AN926" s="132"/>
      <c r="AO926" s="132"/>
      <c r="AP926" s="132"/>
      <c r="AQ926" s="132"/>
      <c r="AR926" s="132"/>
      <c r="AS926" s="132"/>
      <c r="AT926" s="132"/>
      <c r="AU926" s="132"/>
      <c r="AV926" s="132"/>
      <c r="AW926" s="132"/>
      <c r="AX926" s="132"/>
      <c r="AY926" s="132"/>
      <c r="AZ926" s="132"/>
      <c r="BA926" s="132"/>
      <c r="BB926" s="132"/>
    </row>
    <row r="927" spans="1:67" s="269" customFormat="1" ht="48" customHeight="1" x14ac:dyDescent="0.2">
      <c r="A927" s="411">
        <v>241</v>
      </c>
      <c r="B927" s="396" t="s">
        <v>1342</v>
      </c>
      <c r="C927" s="396" t="s">
        <v>1342</v>
      </c>
      <c r="D927" s="336" t="s">
        <v>107</v>
      </c>
      <c r="E927" s="336"/>
      <c r="F927" s="336"/>
      <c r="G927" s="336"/>
      <c r="H927" s="336"/>
      <c r="I927" s="282" t="s">
        <v>1338</v>
      </c>
      <c r="J927" s="282" t="s">
        <v>224</v>
      </c>
      <c r="K927" s="284">
        <v>20000</v>
      </c>
      <c r="L927" s="282" t="s">
        <v>111</v>
      </c>
      <c r="M927" s="282" t="s">
        <v>1343</v>
      </c>
      <c r="N927" s="132"/>
      <c r="O927" s="132"/>
      <c r="P927" s="132"/>
      <c r="Q927" s="132"/>
      <c r="R927" s="132"/>
      <c r="S927" s="132"/>
      <c r="T927" s="132"/>
      <c r="U927" s="132"/>
      <c r="V927" s="132"/>
      <c r="W927" s="132"/>
      <c r="X927" s="132"/>
      <c r="Y927" s="132"/>
      <c r="Z927" s="132"/>
      <c r="AA927" s="132"/>
      <c r="AB927" s="132"/>
      <c r="AC927" s="132"/>
      <c r="AD927" s="132"/>
      <c r="AE927" s="132"/>
      <c r="AF927" s="132"/>
      <c r="AG927" s="132"/>
      <c r="AH927" s="132"/>
      <c r="AI927" s="132"/>
      <c r="AJ927" s="132"/>
      <c r="AK927" s="132"/>
      <c r="AL927" s="132"/>
      <c r="AM927" s="132"/>
      <c r="AN927" s="132"/>
      <c r="AO927" s="132"/>
      <c r="AP927" s="132"/>
      <c r="AQ927" s="132"/>
      <c r="AR927" s="132"/>
      <c r="AS927" s="132"/>
      <c r="AT927" s="132"/>
      <c r="AU927" s="132"/>
      <c r="AV927" s="132"/>
      <c r="AW927" s="132"/>
      <c r="AX927" s="132"/>
      <c r="AY927" s="132"/>
      <c r="AZ927" s="132"/>
      <c r="BA927" s="132"/>
      <c r="BB927" s="132"/>
    </row>
    <row r="928" spans="1:67" ht="24" customHeight="1" x14ac:dyDescent="0.2">
      <c r="A928" s="163">
        <v>242</v>
      </c>
      <c r="B928" s="164" t="s">
        <v>1344</v>
      </c>
      <c r="C928" s="165"/>
      <c r="D928" s="166" t="s">
        <v>107</v>
      </c>
      <c r="E928" s="166"/>
      <c r="F928" s="166"/>
      <c r="G928" s="166"/>
      <c r="H928" s="248" t="s">
        <v>1345</v>
      </c>
      <c r="I928" s="217" t="s">
        <v>1346</v>
      </c>
      <c r="J928" s="223" t="s">
        <v>1347</v>
      </c>
      <c r="K928" s="365">
        <f>18000*70%</f>
        <v>12600</v>
      </c>
      <c r="L928" s="195" t="s">
        <v>111</v>
      </c>
      <c r="M928" s="171" t="s">
        <v>1348</v>
      </c>
    </row>
    <row r="929" spans="1:14" ht="24" customHeight="1" x14ac:dyDescent="0.2">
      <c r="A929" s="173"/>
      <c r="B929" s="174"/>
      <c r="C929" s="175"/>
      <c r="D929" s="176"/>
      <c r="E929" s="176"/>
      <c r="F929" s="176"/>
      <c r="G929" s="176"/>
      <c r="H929" s="250"/>
      <c r="I929" s="184" t="s">
        <v>1349</v>
      </c>
      <c r="J929" s="207" t="s">
        <v>1350</v>
      </c>
      <c r="K929" s="355">
        <f>18000*10%</f>
        <v>1800</v>
      </c>
      <c r="L929" s="197"/>
      <c r="M929" s="181"/>
      <c r="N929" s="172"/>
    </row>
    <row r="930" spans="1:14" ht="24" customHeight="1" x14ac:dyDescent="0.2">
      <c r="A930" s="173"/>
      <c r="B930" s="174"/>
      <c r="C930" s="175"/>
      <c r="D930" s="176"/>
      <c r="E930" s="176"/>
      <c r="F930" s="176"/>
      <c r="G930" s="176"/>
      <c r="H930" s="250"/>
      <c r="I930" s="184" t="s">
        <v>1351</v>
      </c>
      <c r="J930" s="207" t="s">
        <v>1350</v>
      </c>
      <c r="K930" s="355">
        <f t="shared" ref="K930:K931" si="18">18000*10%</f>
        <v>1800</v>
      </c>
      <c r="L930" s="197"/>
      <c r="M930" s="181"/>
      <c r="N930" s="172"/>
    </row>
    <row r="931" spans="1:14" ht="24" customHeight="1" x14ac:dyDescent="0.2">
      <c r="A931" s="173"/>
      <c r="B931" s="174"/>
      <c r="C931" s="175"/>
      <c r="D931" s="176"/>
      <c r="E931" s="176"/>
      <c r="F931" s="176"/>
      <c r="G931" s="176"/>
      <c r="H931" s="250"/>
      <c r="I931" s="184" t="s">
        <v>1352</v>
      </c>
      <c r="J931" s="207" t="s">
        <v>999</v>
      </c>
      <c r="K931" s="355">
        <f t="shared" si="18"/>
        <v>1800</v>
      </c>
      <c r="L931" s="197"/>
      <c r="M931" s="181"/>
      <c r="N931" s="172"/>
    </row>
    <row r="932" spans="1:14" x14ac:dyDescent="0.2">
      <c r="A932" s="173"/>
      <c r="B932" s="174"/>
      <c r="C932" s="175"/>
      <c r="D932" s="176"/>
      <c r="E932" s="176"/>
      <c r="F932" s="176"/>
      <c r="G932" s="176"/>
      <c r="H932" s="250"/>
      <c r="I932" s="410"/>
      <c r="J932" s="342"/>
      <c r="K932" s="247">
        <f>SUM(K928:K931)</f>
        <v>18000</v>
      </c>
      <c r="L932" s="197"/>
      <c r="M932" s="181"/>
    </row>
    <row r="933" spans="1:14" ht="24" customHeight="1" x14ac:dyDescent="0.2">
      <c r="A933" s="163">
        <v>243</v>
      </c>
      <c r="B933" s="164" t="s">
        <v>1353</v>
      </c>
      <c r="C933" s="165"/>
      <c r="D933" s="166" t="s">
        <v>107</v>
      </c>
      <c r="E933" s="166"/>
      <c r="F933" s="166"/>
      <c r="G933" s="166"/>
      <c r="H933" s="248" t="s">
        <v>1345</v>
      </c>
      <c r="I933" s="217" t="s">
        <v>1354</v>
      </c>
      <c r="J933" s="223" t="s">
        <v>1347</v>
      </c>
      <c r="K933" s="365">
        <f>16000*70%</f>
        <v>11200</v>
      </c>
      <c r="L933" s="195" t="s">
        <v>111</v>
      </c>
      <c r="M933" s="171" t="s">
        <v>1355</v>
      </c>
    </row>
    <row r="934" spans="1:14" ht="24" customHeight="1" x14ac:dyDescent="0.2">
      <c r="A934" s="173"/>
      <c r="B934" s="174"/>
      <c r="C934" s="175"/>
      <c r="D934" s="176"/>
      <c r="E934" s="176"/>
      <c r="F934" s="176"/>
      <c r="G934" s="176"/>
      <c r="H934" s="250"/>
      <c r="I934" s="184" t="s">
        <v>1349</v>
      </c>
      <c r="J934" s="207" t="s">
        <v>1356</v>
      </c>
      <c r="K934" s="355">
        <f>16000*10%</f>
        <v>1600</v>
      </c>
      <c r="L934" s="197"/>
      <c r="M934" s="181"/>
    </row>
    <row r="935" spans="1:14" ht="24" customHeight="1" x14ac:dyDescent="0.2">
      <c r="A935" s="173"/>
      <c r="B935" s="174"/>
      <c r="C935" s="175"/>
      <c r="D935" s="176"/>
      <c r="E935" s="176"/>
      <c r="F935" s="176"/>
      <c r="G935" s="176"/>
      <c r="H935" s="250"/>
      <c r="I935" s="184" t="s">
        <v>1351</v>
      </c>
      <c r="J935" s="207" t="s">
        <v>1356</v>
      </c>
      <c r="K935" s="355">
        <f t="shared" ref="K935:K936" si="19">16000*10%</f>
        <v>1600</v>
      </c>
      <c r="L935" s="197"/>
      <c r="M935" s="181"/>
    </row>
    <row r="936" spans="1:14" ht="24" customHeight="1" x14ac:dyDescent="0.2">
      <c r="A936" s="173"/>
      <c r="B936" s="174"/>
      <c r="C936" s="175"/>
      <c r="D936" s="176"/>
      <c r="E936" s="176"/>
      <c r="F936" s="176"/>
      <c r="G936" s="176"/>
      <c r="H936" s="250"/>
      <c r="I936" s="184" t="s">
        <v>1357</v>
      </c>
      <c r="J936" s="207" t="s">
        <v>641</v>
      </c>
      <c r="K936" s="355">
        <f t="shared" si="19"/>
        <v>1600</v>
      </c>
      <c r="L936" s="197"/>
      <c r="M936" s="181"/>
      <c r="N936" s="172"/>
    </row>
    <row r="937" spans="1:14" x14ac:dyDescent="0.2">
      <c r="A937" s="173"/>
      <c r="B937" s="174"/>
      <c r="C937" s="175"/>
      <c r="D937" s="176"/>
      <c r="E937" s="176"/>
      <c r="F937" s="176"/>
      <c r="G937" s="176"/>
      <c r="H937" s="250"/>
      <c r="I937" s="410"/>
      <c r="J937" s="342"/>
      <c r="K937" s="247">
        <f>SUM(K933:K936)</f>
        <v>16000</v>
      </c>
      <c r="L937" s="197"/>
      <c r="M937" s="181"/>
    </row>
    <row r="938" spans="1:14" ht="24" customHeight="1" x14ac:dyDescent="0.2">
      <c r="A938" s="163">
        <v>244</v>
      </c>
      <c r="B938" s="164" t="s">
        <v>1358</v>
      </c>
      <c r="C938" s="165"/>
      <c r="D938" s="166" t="s">
        <v>107</v>
      </c>
      <c r="E938" s="166"/>
      <c r="F938" s="166"/>
      <c r="G938" s="166"/>
      <c r="H938" s="248" t="s">
        <v>108</v>
      </c>
      <c r="I938" s="217" t="s">
        <v>1359</v>
      </c>
      <c r="J938" s="223" t="s">
        <v>1350</v>
      </c>
      <c r="K938" s="365">
        <f>16000*70%</f>
        <v>11200</v>
      </c>
      <c r="L938" s="195" t="s">
        <v>111</v>
      </c>
      <c r="M938" s="171" t="s">
        <v>1360</v>
      </c>
    </row>
    <row r="939" spans="1:14" ht="23.25" customHeight="1" x14ac:dyDescent="0.2">
      <c r="A939" s="173"/>
      <c r="B939" s="174"/>
      <c r="C939" s="175"/>
      <c r="D939" s="176"/>
      <c r="E939" s="176"/>
      <c r="F939" s="176"/>
      <c r="G939" s="176"/>
      <c r="H939" s="250"/>
      <c r="I939" s="184" t="s">
        <v>1351</v>
      </c>
      <c r="J939" s="207" t="s">
        <v>1356</v>
      </c>
      <c r="K939" s="355">
        <f>16000*10%</f>
        <v>1600</v>
      </c>
      <c r="L939" s="197"/>
      <c r="M939" s="181"/>
    </row>
    <row r="940" spans="1:14" ht="23.25" customHeight="1" x14ac:dyDescent="0.2">
      <c r="A940" s="173"/>
      <c r="B940" s="174"/>
      <c r="C940" s="175"/>
      <c r="D940" s="176"/>
      <c r="E940" s="176"/>
      <c r="F940" s="176"/>
      <c r="G940" s="176"/>
      <c r="H940" s="250"/>
      <c r="I940" s="184" t="s">
        <v>1361</v>
      </c>
      <c r="J940" s="207" t="s">
        <v>641</v>
      </c>
      <c r="K940" s="355">
        <f>16000*20%</f>
        <v>3200</v>
      </c>
      <c r="L940" s="197"/>
      <c r="M940" s="181"/>
    </row>
    <row r="941" spans="1:14" ht="23.25" customHeight="1" x14ac:dyDescent="0.2">
      <c r="A941" s="173"/>
      <c r="B941" s="174"/>
      <c r="C941" s="175"/>
      <c r="D941" s="176"/>
      <c r="E941" s="176"/>
      <c r="F941" s="176"/>
      <c r="G941" s="176"/>
      <c r="H941" s="250"/>
      <c r="I941" s="184"/>
      <c r="J941" s="207"/>
      <c r="K941" s="355">
        <f>SUM(K938:K940)</f>
        <v>16000</v>
      </c>
      <c r="L941" s="197"/>
      <c r="M941" s="181"/>
    </row>
    <row r="942" spans="1:14" ht="23.25" customHeight="1" x14ac:dyDescent="0.2">
      <c r="A942" s="163">
        <v>245</v>
      </c>
      <c r="B942" s="164" t="s">
        <v>1362</v>
      </c>
      <c r="C942" s="165"/>
      <c r="D942" s="252" t="s">
        <v>107</v>
      </c>
      <c r="E942" s="166"/>
      <c r="F942" s="166"/>
      <c r="G942" s="166"/>
      <c r="H942" s="248"/>
      <c r="I942" s="261" t="s">
        <v>1363</v>
      </c>
      <c r="J942" s="386" t="s">
        <v>791</v>
      </c>
      <c r="K942" s="375">
        <f>16000*50%</f>
        <v>8000</v>
      </c>
      <c r="L942" s="195" t="s">
        <v>111</v>
      </c>
      <c r="M942" s="171" t="s">
        <v>1364</v>
      </c>
    </row>
    <row r="943" spans="1:14" ht="23.25" customHeight="1" x14ac:dyDescent="0.2">
      <c r="A943" s="173"/>
      <c r="B943" s="174"/>
      <c r="C943" s="175"/>
      <c r="D943" s="245"/>
      <c r="E943" s="176"/>
      <c r="F943" s="176"/>
      <c r="G943" s="176"/>
      <c r="H943" s="250"/>
      <c r="I943" s="177" t="s">
        <v>1365</v>
      </c>
      <c r="J943" s="207" t="s">
        <v>599</v>
      </c>
      <c r="K943" s="214">
        <f>16000*10%</f>
        <v>1600</v>
      </c>
      <c r="L943" s="197"/>
      <c r="M943" s="181"/>
    </row>
    <row r="944" spans="1:14" ht="23.25" customHeight="1" x14ac:dyDescent="0.2">
      <c r="A944" s="173"/>
      <c r="B944" s="174"/>
      <c r="C944" s="175"/>
      <c r="D944" s="245"/>
      <c r="E944" s="176"/>
      <c r="F944" s="176"/>
      <c r="G944" s="176"/>
      <c r="H944" s="250"/>
      <c r="I944" s="177" t="s">
        <v>1366</v>
      </c>
      <c r="J944" s="207" t="s">
        <v>791</v>
      </c>
      <c r="K944" s="382">
        <f t="shared" ref="K944:K947" si="20">16000*10%</f>
        <v>1600</v>
      </c>
      <c r="L944" s="197"/>
      <c r="M944" s="181"/>
    </row>
    <row r="945" spans="1:14" ht="23.25" customHeight="1" x14ac:dyDescent="0.2">
      <c r="A945" s="173"/>
      <c r="B945" s="174"/>
      <c r="C945" s="175"/>
      <c r="D945" s="245"/>
      <c r="E945" s="176"/>
      <c r="F945" s="176"/>
      <c r="G945" s="176"/>
      <c r="H945" s="250"/>
      <c r="I945" s="177" t="s">
        <v>1367</v>
      </c>
      <c r="J945" s="207" t="s">
        <v>791</v>
      </c>
      <c r="K945" s="214">
        <f t="shared" si="20"/>
        <v>1600</v>
      </c>
      <c r="L945" s="197"/>
      <c r="M945" s="181"/>
    </row>
    <row r="946" spans="1:14" ht="23.25" customHeight="1" x14ac:dyDescent="0.2">
      <c r="A946" s="173"/>
      <c r="B946" s="174"/>
      <c r="C946" s="175"/>
      <c r="D946" s="245"/>
      <c r="E946" s="176"/>
      <c r="F946" s="176"/>
      <c r="G946" s="176"/>
      <c r="H946" s="250"/>
      <c r="I946" s="177" t="s">
        <v>1368</v>
      </c>
      <c r="J946" s="207" t="s">
        <v>791</v>
      </c>
      <c r="K946" s="382">
        <f t="shared" si="20"/>
        <v>1600</v>
      </c>
      <c r="L946" s="197"/>
      <c r="M946" s="181"/>
    </row>
    <row r="947" spans="1:14" ht="23.25" customHeight="1" x14ac:dyDescent="0.2">
      <c r="A947" s="173"/>
      <c r="B947" s="174"/>
      <c r="C947" s="175"/>
      <c r="D947" s="245"/>
      <c r="E947" s="176"/>
      <c r="F947" s="176"/>
      <c r="G947" s="176"/>
      <c r="H947" s="250"/>
      <c r="I947" s="184" t="s">
        <v>1369</v>
      </c>
      <c r="J947" s="207" t="s">
        <v>117</v>
      </c>
      <c r="K947" s="214">
        <f t="shared" si="20"/>
        <v>1600</v>
      </c>
      <c r="L947" s="197"/>
      <c r="M947" s="181"/>
    </row>
    <row r="948" spans="1:14" ht="23.25" customHeight="1" x14ac:dyDescent="0.2">
      <c r="A948" s="185"/>
      <c r="B948" s="186"/>
      <c r="C948" s="187"/>
      <c r="D948" s="246"/>
      <c r="E948" s="188"/>
      <c r="F948" s="188"/>
      <c r="G948" s="188"/>
      <c r="H948" s="251"/>
      <c r="I948" s="189"/>
      <c r="J948" s="203"/>
      <c r="K948" s="292">
        <f>SUM(K942:K947)</f>
        <v>16000</v>
      </c>
      <c r="L948" s="205"/>
      <c r="M948" s="193"/>
    </row>
    <row r="949" spans="1:14" ht="23.25" customHeight="1" x14ac:dyDescent="0.2">
      <c r="A949" s="163">
        <v>246</v>
      </c>
      <c r="B949" s="164" t="s">
        <v>1370</v>
      </c>
      <c r="C949" s="165"/>
      <c r="D949" s="252" t="s">
        <v>107</v>
      </c>
      <c r="E949" s="166"/>
      <c r="F949" s="166"/>
      <c r="G949" s="166"/>
      <c r="H949" s="248"/>
      <c r="I949" s="217" t="s">
        <v>1363</v>
      </c>
      <c r="J949" s="223" t="s">
        <v>791</v>
      </c>
      <c r="K949" s="268">
        <f>16000*50%</f>
        <v>8000</v>
      </c>
      <c r="L949" s="195" t="s">
        <v>111</v>
      </c>
      <c r="M949" s="171" t="s">
        <v>1371</v>
      </c>
    </row>
    <row r="950" spans="1:14" ht="23.25" customHeight="1" x14ac:dyDescent="0.2">
      <c r="A950" s="173"/>
      <c r="B950" s="174"/>
      <c r="C950" s="175"/>
      <c r="D950" s="245"/>
      <c r="E950" s="176"/>
      <c r="F950" s="176"/>
      <c r="G950" s="176"/>
      <c r="H950" s="250"/>
      <c r="I950" s="167" t="s">
        <v>1372</v>
      </c>
      <c r="J950" s="138" t="s">
        <v>1373</v>
      </c>
      <c r="K950" s="382">
        <f>16000*10%</f>
        <v>1600</v>
      </c>
      <c r="L950" s="197"/>
      <c r="M950" s="181"/>
    </row>
    <row r="951" spans="1:14" ht="23.25" customHeight="1" x14ac:dyDescent="0.2">
      <c r="A951" s="173"/>
      <c r="B951" s="174"/>
      <c r="C951" s="175"/>
      <c r="D951" s="245"/>
      <c r="E951" s="176"/>
      <c r="F951" s="176"/>
      <c r="G951" s="176"/>
      <c r="H951" s="250"/>
      <c r="I951" s="184" t="s">
        <v>1374</v>
      </c>
      <c r="J951" s="207" t="s">
        <v>791</v>
      </c>
      <c r="K951" s="196">
        <f t="shared" ref="K951:K954" si="21">16000*10%</f>
        <v>1600</v>
      </c>
      <c r="L951" s="197"/>
      <c r="M951" s="181"/>
    </row>
    <row r="952" spans="1:14" ht="23.25" customHeight="1" x14ac:dyDescent="0.2">
      <c r="A952" s="173"/>
      <c r="B952" s="174"/>
      <c r="C952" s="175"/>
      <c r="D952" s="245"/>
      <c r="E952" s="176"/>
      <c r="F952" s="176"/>
      <c r="G952" s="176"/>
      <c r="H952" s="250"/>
      <c r="I952" s="184" t="s">
        <v>1375</v>
      </c>
      <c r="J952" s="207" t="s">
        <v>791</v>
      </c>
      <c r="K952" s="196">
        <f t="shared" si="21"/>
        <v>1600</v>
      </c>
      <c r="L952" s="197"/>
      <c r="M952" s="181"/>
    </row>
    <row r="953" spans="1:14" ht="23.25" customHeight="1" x14ac:dyDescent="0.2">
      <c r="A953" s="173"/>
      <c r="B953" s="174"/>
      <c r="C953" s="175"/>
      <c r="D953" s="245"/>
      <c r="E953" s="176"/>
      <c r="F953" s="176"/>
      <c r="G953" s="176"/>
      <c r="H953" s="250"/>
      <c r="I953" s="167" t="s">
        <v>1376</v>
      </c>
      <c r="J953" s="207" t="s">
        <v>791</v>
      </c>
      <c r="K953" s="214">
        <f t="shared" si="21"/>
        <v>1600</v>
      </c>
      <c r="L953" s="197"/>
      <c r="M953" s="181"/>
    </row>
    <row r="954" spans="1:14" ht="23.25" customHeight="1" x14ac:dyDescent="0.2">
      <c r="A954" s="173"/>
      <c r="B954" s="174"/>
      <c r="C954" s="175"/>
      <c r="D954" s="245"/>
      <c r="E954" s="176"/>
      <c r="F954" s="176"/>
      <c r="G954" s="176"/>
      <c r="H954" s="250"/>
      <c r="I954" s="177" t="s">
        <v>1377</v>
      </c>
      <c r="J954" s="207" t="s">
        <v>791</v>
      </c>
      <c r="K954" s="382">
        <f t="shared" si="21"/>
        <v>1600</v>
      </c>
      <c r="L954" s="197"/>
      <c r="M954" s="181"/>
    </row>
    <row r="955" spans="1:14" ht="23.25" customHeight="1" x14ac:dyDescent="0.2">
      <c r="A955" s="185"/>
      <c r="B955" s="186"/>
      <c r="C955" s="187"/>
      <c r="D955" s="246"/>
      <c r="E955" s="188"/>
      <c r="F955" s="188"/>
      <c r="G955" s="188"/>
      <c r="H955" s="251"/>
      <c r="I955" s="202"/>
      <c r="J955" s="203"/>
      <c r="K955" s="247">
        <f>SUM(K949:K954)</f>
        <v>16000</v>
      </c>
      <c r="L955" s="205"/>
      <c r="M955" s="193"/>
    </row>
    <row r="956" spans="1:14" ht="46.5" customHeight="1" x14ac:dyDescent="0.2">
      <c r="A956" s="232">
        <v>247</v>
      </c>
      <c r="B956" s="255" t="s">
        <v>1378</v>
      </c>
      <c r="C956" s="256" t="s">
        <v>1378</v>
      </c>
      <c r="D956" s="257" t="s">
        <v>107</v>
      </c>
      <c r="E956" s="258"/>
      <c r="F956" s="258"/>
      <c r="G956" s="258"/>
      <c r="H956" s="259"/>
      <c r="I956" s="282" t="s">
        <v>1379</v>
      </c>
      <c r="J956" s="312" t="s">
        <v>791</v>
      </c>
      <c r="K956" s="284">
        <v>18000</v>
      </c>
      <c r="L956" s="306" t="s">
        <v>111</v>
      </c>
      <c r="M956" s="189" t="s">
        <v>1380</v>
      </c>
    </row>
    <row r="957" spans="1:14" ht="52.5" customHeight="1" x14ac:dyDescent="0.2">
      <c r="A957" s="411">
        <v>248</v>
      </c>
      <c r="B957" s="164" t="s">
        <v>1381</v>
      </c>
      <c r="C957" s="165"/>
      <c r="D957" s="262" t="s">
        <v>25</v>
      </c>
      <c r="E957" s="263"/>
      <c r="F957" s="263"/>
      <c r="G957" s="263" t="s">
        <v>1382</v>
      </c>
      <c r="H957" s="418"/>
      <c r="I957" s="261" t="s">
        <v>1383</v>
      </c>
      <c r="J957" s="353" t="s">
        <v>791</v>
      </c>
      <c r="K957" s="375">
        <v>900000</v>
      </c>
      <c r="L957" s="261" t="s">
        <v>1382</v>
      </c>
      <c r="M957" s="167" t="s">
        <v>1384</v>
      </c>
      <c r="N957" s="172"/>
    </row>
    <row r="958" spans="1:14" ht="29.25" customHeight="1" x14ac:dyDescent="0.2">
      <c r="A958" s="252">
        <v>249</v>
      </c>
      <c r="B958" s="164" t="s">
        <v>1385</v>
      </c>
      <c r="C958" s="165"/>
      <c r="D958" s="252" t="s">
        <v>25</v>
      </c>
      <c r="E958" s="166"/>
      <c r="F958" s="166"/>
      <c r="G958" s="166" t="s">
        <v>1386</v>
      </c>
      <c r="H958" s="166"/>
      <c r="I958" s="261" t="s">
        <v>1387</v>
      </c>
      <c r="J958" s="353" t="s">
        <v>791</v>
      </c>
      <c r="K958" s="419">
        <f>500000*50%</f>
        <v>250000</v>
      </c>
      <c r="L958" s="171" t="s">
        <v>1386</v>
      </c>
      <c r="M958" s="171" t="s">
        <v>1388</v>
      </c>
    </row>
    <row r="959" spans="1:14" ht="27.75" customHeight="1" x14ac:dyDescent="0.2">
      <c r="A959" s="245"/>
      <c r="B959" s="174"/>
      <c r="C959" s="175"/>
      <c r="D959" s="245"/>
      <c r="E959" s="176"/>
      <c r="F959" s="176"/>
      <c r="G959" s="176"/>
      <c r="H959" s="176"/>
      <c r="I959" s="184" t="s">
        <v>1389</v>
      </c>
      <c r="J959" s="207" t="s">
        <v>1390</v>
      </c>
      <c r="K959" s="420">
        <f>500000*25%</f>
        <v>125000</v>
      </c>
      <c r="L959" s="181"/>
      <c r="M959" s="181"/>
    </row>
    <row r="960" spans="1:14" ht="27" customHeight="1" x14ac:dyDescent="0.2">
      <c r="A960" s="245"/>
      <c r="B960" s="174"/>
      <c r="C960" s="175"/>
      <c r="D960" s="245"/>
      <c r="E960" s="176"/>
      <c r="F960" s="176"/>
      <c r="G960" s="176"/>
      <c r="H960" s="176"/>
      <c r="I960" s="177" t="s">
        <v>1391</v>
      </c>
      <c r="J960" s="207" t="s">
        <v>1390</v>
      </c>
      <c r="K960" s="421">
        <f>500000*25%</f>
        <v>125000</v>
      </c>
      <c r="L960" s="181"/>
      <c r="M960" s="181"/>
    </row>
    <row r="961" spans="1:67" ht="27.75" customHeight="1" x14ac:dyDescent="0.2">
      <c r="A961" s="245"/>
      <c r="B961" s="174"/>
      <c r="C961" s="175"/>
      <c r="D961" s="246"/>
      <c r="E961" s="188"/>
      <c r="F961" s="176"/>
      <c r="G961" s="176"/>
      <c r="H961" s="176"/>
      <c r="I961" s="202"/>
      <c r="J961" s="203"/>
      <c r="K961" s="292">
        <v>500000</v>
      </c>
      <c r="L961" s="181"/>
      <c r="M961" s="181"/>
    </row>
    <row r="962" spans="1:67" ht="27.75" customHeight="1" x14ac:dyDescent="0.2">
      <c r="A962" s="422">
        <v>250</v>
      </c>
      <c r="B962" s="248" t="s">
        <v>1392</v>
      </c>
      <c r="C962" s="222"/>
      <c r="D962" s="252" t="s">
        <v>25</v>
      </c>
      <c r="E962" s="166"/>
      <c r="F962" s="166"/>
      <c r="G962" s="166" t="s">
        <v>1393</v>
      </c>
      <c r="H962" s="423"/>
      <c r="I962" s="217" t="s">
        <v>1394</v>
      </c>
      <c r="J962" s="223" t="s">
        <v>791</v>
      </c>
      <c r="K962" s="375">
        <f>300000*65%</f>
        <v>195000</v>
      </c>
      <c r="L962" s="387" t="s">
        <v>1393</v>
      </c>
      <c r="M962" s="387" t="s">
        <v>1388</v>
      </c>
    </row>
    <row r="963" spans="1:67" ht="27.75" customHeight="1" x14ac:dyDescent="0.2">
      <c r="A963" s="422"/>
      <c r="B963" s="250"/>
      <c r="C963" s="225"/>
      <c r="D963" s="245"/>
      <c r="E963" s="176"/>
      <c r="F963" s="176"/>
      <c r="G963" s="176"/>
      <c r="H963" s="423"/>
      <c r="I963" s="184" t="s">
        <v>1395</v>
      </c>
      <c r="J963" s="207" t="s">
        <v>1390</v>
      </c>
      <c r="K963" s="214">
        <f>300000*15%</f>
        <v>45000</v>
      </c>
      <c r="L963" s="387"/>
      <c r="M963" s="387"/>
    </row>
    <row r="964" spans="1:67" ht="27.75" customHeight="1" x14ac:dyDescent="0.2">
      <c r="A964" s="422"/>
      <c r="B964" s="250"/>
      <c r="C964" s="225"/>
      <c r="D964" s="245"/>
      <c r="E964" s="176"/>
      <c r="F964" s="176"/>
      <c r="G964" s="176"/>
      <c r="H964" s="423"/>
      <c r="I964" s="167" t="s">
        <v>1396</v>
      </c>
      <c r="J964" s="168" t="s">
        <v>1390</v>
      </c>
      <c r="K964" s="382">
        <f>300000*10%</f>
        <v>30000</v>
      </c>
      <c r="L964" s="387"/>
      <c r="M964" s="387"/>
    </row>
    <row r="965" spans="1:67" ht="27.75" customHeight="1" x14ac:dyDescent="0.2">
      <c r="A965" s="422"/>
      <c r="B965" s="250"/>
      <c r="C965" s="225"/>
      <c r="D965" s="245"/>
      <c r="E965" s="176"/>
      <c r="F965" s="176"/>
      <c r="G965" s="176"/>
      <c r="H965" s="423"/>
      <c r="I965" s="184" t="s">
        <v>1397</v>
      </c>
      <c r="J965" s="207" t="s">
        <v>1398</v>
      </c>
      <c r="K965" s="196">
        <f>300000*10%</f>
        <v>30000</v>
      </c>
      <c r="L965" s="387"/>
      <c r="M965" s="387"/>
    </row>
    <row r="966" spans="1:67" ht="27.75" customHeight="1" x14ac:dyDescent="0.2">
      <c r="A966" s="422"/>
      <c r="B966" s="251"/>
      <c r="C966" s="229"/>
      <c r="D966" s="246"/>
      <c r="E966" s="188"/>
      <c r="F966" s="188"/>
      <c r="G966" s="188"/>
      <c r="H966" s="423"/>
      <c r="I966" s="202"/>
      <c r="J966" s="203"/>
      <c r="K966" s="292">
        <v>300000</v>
      </c>
      <c r="L966" s="387"/>
      <c r="M966" s="387"/>
    </row>
    <row r="967" spans="1:67" s="269" customFormat="1" ht="78" customHeight="1" x14ac:dyDescent="0.2">
      <c r="A967" s="307">
        <v>251</v>
      </c>
      <c r="B967" s="310" t="s">
        <v>1399</v>
      </c>
      <c r="C967" s="311"/>
      <c r="D967" s="308" t="s">
        <v>107</v>
      </c>
      <c r="E967" s="308"/>
      <c r="F967" s="308"/>
      <c r="G967" s="308"/>
      <c r="H967" s="308"/>
      <c r="I967" s="282" t="s">
        <v>1400</v>
      </c>
      <c r="J967" s="312" t="s">
        <v>1401</v>
      </c>
      <c r="K967" s="284">
        <v>18000</v>
      </c>
      <c r="L967" s="306" t="s">
        <v>111</v>
      </c>
      <c r="M967" s="261" t="s">
        <v>1402</v>
      </c>
      <c r="N967" s="132"/>
      <c r="O967" s="132"/>
      <c r="P967" s="132"/>
      <c r="Q967" s="132"/>
      <c r="R967" s="132"/>
      <c r="S967" s="132"/>
      <c r="T967" s="132"/>
      <c r="U967" s="132"/>
      <c r="V967" s="132"/>
      <c r="W967" s="132"/>
      <c r="X967" s="132"/>
      <c r="Y967" s="132"/>
      <c r="Z967" s="132"/>
      <c r="AA967" s="132"/>
      <c r="AB967" s="132"/>
      <c r="AC967" s="132"/>
      <c r="AD967" s="132"/>
      <c r="AE967" s="132"/>
      <c r="AF967" s="132"/>
      <c r="AG967" s="132"/>
      <c r="AH967" s="132"/>
      <c r="AI967" s="132"/>
      <c r="AJ967" s="132"/>
      <c r="AK967" s="132"/>
      <c r="AL967" s="132"/>
      <c r="AM967" s="132"/>
      <c r="AN967" s="132"/>
      <c r="AO967" s="132"/>
      <c r="AP967" s="132"/>
      <c r="AQ967" s="132"/>
      <c r="AR967" s="132"/>
      <c r="AS967" s="132"/>
      <c r="AT967" s="132"/>
      <c r="AU967" s="132"/>
      <c r="AV967" s="132"/>
      <c r="AW967" s="132"/>
      <c r="AX967" s="132"/>
      <c r="AY967" s="132"/>
      <c r="AZ967" s="132"/>
      <c r="BA967" s="132"/>
      <c r="BB967" s="132"/>
      <c r="BC967" s="132"/>
      <c r="BD967" s="132"/>
      <c r="BE967" s="132"/>
      <c r="BF967" s="132"/>
      <c r="BG967" s="132"/>
      <c r="BH967" s="132"/>
      <c r="BI967" s="132"/>
      <c r="BJ967" s="132"/>
      <c r="BK967" s="132"/>
      <c r="BL967" s="132"/>
      <c r="BM967" s="132"/>
      <c r="BN967" s="132"/>
      <c r="BO967" s="132"/>
    </row>
    <row r="968" spans="1:67" s="269" customFormat="1" ht="27.75" customHeight="1" x14ac:dyDescent="0.2">
      <c r="A968" s="252">
        <v>252</v>
      </c>
      <c r="B968" s="265" t="s">
        <v>1403</v>
      </c>
      <c r="C968" s="266"/>
      <c r="D968" s="166" t="s">
        <v>107</v>
      </c>
      <c r="E968" s="166"/>
      <c r="F968" s="166"/>
      <c r="G968" s="166"/>
      <c r="H968" s="166" t="s">
        <v>137</v>
      </c>
      <c r="I968" s="276" t="s">
        <v>1404</v>
      </c>
      <c r="J968" s="277" t="s">
        <v>1401</v>
      </c>
      <c r="K968" s="278">
        <f>63000*70%</f>
        <v>44100</v>
      </c>
      <c r="L968" s="171" t="s">
        <v>111</v>
      </c>
      <c r="M968" s="171" t="s">
        <v>1405</v>
      </c>
      <c r="N968" s="132"/>
      <c r="O968" s="132"/>
      <c r="P968" s="132"/>
      <c r="Q968" s="132"/>
      <c r="R968" s="132"/>
      <c r="S968" s="132"/>
      <c r="T968" s="132"/>
      <c r="U968" s="132"/>
      <c r="V968" s="132"/>
      <c r="W968" s="132"/>
      <c r="X968" s="132"/>
      <c r="Y968" s="132"/>
      <c r="Z968" s="132"/>
      <c r="AA968" s="132"/>
      <c r="AB968" s="132"/>
      <c r="AC968" s="132"/>
      <c r="AD968" s="132"/>
      <c r="AE968" s="132"/>
      <c r="AF968" s="132"/>
      <c r="AG968" s="132"/>
      <c r="AH968" s="132"/>
      <c r="AI968" s="132"/>
      <c r="AJ968" s="132"/>
      <c r="AK968" s="132"/>
      <c r="AL968" s="132"/>
      <c r="AM968" s="132"/>
      <c r="AN968" s="132"/>
      <c r="AO968" s="132"/>
      <c r="AP968" s="132"/>
      <c r="AQ968" s="132"/>
      <c r="AR968" s="132"/>
      <c r="AS968" s="132"/>
      <c r="AT968" s="132"/>
      <c r="AU968" s="132"/>
      <c r="AV968" s="132"/>
      <c r="AW968" s="132"/>
      <c r="AX968" s="132"/>
      <c r="AY968" s="132"/>
      <c r="AZ968" s="132"/>
      <c r="BA968" s="132"/>
      <c r="BB968" s="132"/>
      <c r="BC968" s="132"/>
      <c r="BD968" s="132"/>
      <c r="BE968" s="132"/>
      <c r="BF968" s="132"/>
      <c r="BG968" s="132"/>
      <c r="BH968" s="132"/>
      <c r="BI968" s="132"/>
      <c r="BJ968" s="132"/>
      <c r="BK968" s="132"/>
      <c r="BL968" s="132"/>
      <c r="BM968" s="132"/>
      <c r="BN968" s="132"/>
      <c r="BO968" s="132"/>
    </row>
    <row r="969" spans="1:67" s="269" customFormat="1" ht="27.75" customHeight="1" x14ac:dyDescent="0.2">
      <c r="A969" s="245"/>
      <c r="B969" s="270"/>
      <c r="C969" s="271"/>
      <c r="D969" s="176"/>
      <c r="E969" s="176"/>
      <c r="F969" s="176"/>
      <c r="G969" s="176"/>
      <c r="H969" s="176"/>
      <c r="I969" s="184" t="s">
        <v>1406</v>
      </c>
      <c r="J969" s="272" t="s">
        <v>1407</v>
      </c>
      <c r="K969" s="214">
        <f>63000*30%</f>
        <v>18900</v>
      </c>
      <c r="L969" s="181"/>
      <c r="M969" s="181"/>
      <c r="N969" s="132"/>
      <c r="O969" s="132"/>
      <c r="P969" s="132"/>
      <c r="Q969" s="132"/>
      <c r="R969" s="132"/>
      <c r="S969" s="132"/>
      <c r="T969" s="132"/>
      <c r="U969" s="132"/>
      <c r="V969" s="132"/>
      <c r="W969" s="132"/>
      <c r="X969" s="132"/>
      <c r="Y969" s="132"/>
      <c r="Z969" s="132"/>
      <c r="AA969" s="132"/>
      <c r="AB969" s="132"/>
      <c r="AC969" s="132"/>
      <c r="AD969" s="132"/>
      <c r="AE969" s="132"/>
      <c r="AF969" s="132"/>
      <c r="AG969" s="132"/>
      <c r="AH969" s="132"/>
      <c r="AI969" s="132"/>
      <c r="AJ969" s="132"/>
      <c r="AK969" s="132"/>
      <c r="AL969" s="132"/>
      <c r="AM969" s="132"/>
      <c r="AN969" s="132"/>
      <c r="AO969" s="132"/>
      <c r="AP969" s="132"/>
      <c r="AQ969" s="132"/>
      <c r="AR969" s="132"/>
      <c r="AS969" s="132"/>
      <c r="AT969" s="132"/>
      <c r="AU969" s="132"/>
      <c r="AV969" s="132"/>
      <c r="AW969" s="132"/>
      <c r="AX969" s="132"/>
      <c r="AY969" s="132"/>
      <c r="AZ969" s="132"/>
      <c r="BA969" s="132"/>
      <c r="BB969" s="132"/>
      <c r="BC969" s="132"/>
      <c r="BD969" s="132"/>
      <c r="BE969" s="132"/>
      <c r="BF969" s="132"/>
      <c r="BG969" s="132"/>
      <c r="BH969" s="132"/>
      <c r="BI969" s="132"/>
      <c r="BJ969" s="132"/>
      <c r="BK969" s="132"/>
      <c r="BL969" s="132"/>
      <c r="BM969" s="132"/>
      <c r="BN969" s="132"/>
      <c r="BO969" s="132"/>
    </row>
    <row r="970" spans="1:67" s="269" customFormat="1" ht="27.75" customHeight="1" x14ac:dyDescent="0.2">
      <c r="A970" s="246"/>
      <c r="B970" s="273"/>
      <c r="C970" s="274"/>
      <c r="D970" s="188"/>
      <c r="E970" s="188"/>
      <c r="F970" s="188"/>
      <c r="G970" s="188"/>
      <c r="H970" s="188"/>
      <c r="I970" s="177"/>
      <c r="J970" s="300"/>
      <c r="K970" s="196">
        <f>SUM(K968:K969)</f>
        <v>63000</v>
      </c>
      <c r="L970" s="181"/>
      <c r="M970" s="181"/>
      <c r="N970" s="132"/>
      <c r="O970" s="132"/>
      <c r="P970" s="132"/>
      <c r="Q970" s="132"/>
      <c r="R970" s="132"/>
      <c r="S970" s="132"/>
      <c r="T970" s="132"/>
      <c r="U970" s="132"/>
      <c r="V970" s="132"/>
      <c r="W970" s="132"/>
      <c r="X970" s="132"/>
      <c r="Y970" s="132"/>
      <c r="Z970" s="132"/>
      <c r="AA970" s="132"/>
      <c r="AB970" s="132"/>
      <c r="AC970" s="132"/>
      <c r="AD970" s="132"/>
      <c r="AE970" s="132"/>
      <c r="AF970" s="132"/>
      <c r="AG970" s="132"/>
      <c r="AH970" s="132"/>
      <c r="AI970" s="132"/>
      <c r="AJ970" s="132"/>
      <c r="AK970" s="132"/>
      <c r="AL970" s="132"/>
      <c r="AM970" s="132"/>
      <c r="AN970" s="132"/>
      <c r="AO970" s="132"/>
      <c r="AP970" s="132"/>
      <c r="AQ970" s="132"/>
      <c r="AR970" s="132"/>
      <c r="AS970" s="132"/>
      <c r="AT970" s="132"/>
      <c r="AU970" s="132"/>
      <c r="AV970" s="132"/>
      <c r="AW970" s="132"/>
      <c r="AX970" s="132"/>
      <c r="AY970" s="132"/>
      <c r="AZ970" s="132"/>
      <c r="BA970" s="132"/>
      <c r="BB970" s="132"/>
      <c r="BC970" s="132"/>
      <c r="BD970" s="132"/>
      <c r="BE970" s="132"/>
      <c r="BF970" s="132"/>
      <c r="BG970" s="132"/>
      <c r="BH970" s="132"/>
      <c r="BI970" s="132"/>
      <c r="BJ970" s="132"/>
      <c r="BK970" s="132"/>
      <c r="BL970" s="132"/>
      <c r="BM970" s="132"/>
      <c r="BN970" s="132"/>
      <c r="BO970" s="132"/>
    </row>
    <row r="971" spans="1:67" s="269" customFormat="1" ht="27.75" customHeight="1" x14ac:dyDescent="0.2">
      <c r="A971" s="252">
        <v>253</v>
      </c>
      <c r="B971" s="293" t="s">
        <v>1408</v>
      </c>
      <c r="C971" s="294"/>
      <c r="D971" s="166" t="s">
        <v>25</v>
      </c>
      <c r="E971" s="166"/>
      <c r="F971" s="166"/>
      <c r="G971" s="166" t="s">
        <v>1393</v>
      </c>
      <c r="H971" s="166"/>
      <c r="I971" s="261" t="s">
        <v>1409</v>
      </c>
      <c r="J971" s="353" t="s">
        <v>791</v>
      </c>
      <c r="K971" s="375">
        <f>500000*60%</f>
        <v>300000</v>
      </c>
      <c r="L971" s="171" t="s">
        <v>1393</v>
      </c>
      <c r="M971" s="171" t="s">
        <v>1410</v>
      </c>
      <c r="N971" s="132"/>
      <c r="O971" s="132"/>
      <c r="P971" s="132"/>
      <c r="Q971" s="132"/>
      <c r="R971" s="132"/>
      <c r="S971" s="132"/>
      <c r="T971" s="132"/>
      <c r="U971" s="132"/>
      <c r="V971" s="132"/>
      <c r="W971" s="132"/>
      <c r="X971" s="132"/>
      <c r="Y971" s="132"/>
      <c r="Z971" s="132"/>
      <c r="AA971" s="132"/>
      <c r="AB971" s="132"/>
      <c r="AC971" s="132"/>
      <c r="AD971" s="132"/>
      <c r="AE971" s="132"/>
      <c r="AF971" s="132"/>
      <c r="AG971" s="132"/>
      <c r="AH971" s="132"/>
      <c r="AI971" s="132"/>
      <c r="AJ971" s="132"/>
      <c r="AK971" s="132"/>
      <c r="AL971" s="132"/>
      <c r="AM971" s="132"/>
      <c r="AN971" s="132"/>
      <c r="AO971" s="132"/>
      <c r="AP971" s="132"/>
      <c r="AQ971" s="132"/>
      <c r="AR971" s="132"/>
      <c r="AS971" s="132"/>
      <c r="AT971" s="132"/>
      <c r="AU971" s="132"/>
      <c r="AV971" s="132"/>
      <c r="AW971" s="132"/>
      <c r="AX971" s="132"/>
      <c r="AY971" s="132"/>
      <c r="AZ971" s="132"/>
      <c r="BA971" s="132"/>
      <c r="BB971" s="132"/>
    </row>
    <row r="972" spans="1:67" s="269" customFormat="1" ht="27.75" customHeight="1" x14ac:dyDescent="0.2">
      <c r="A972" s="245"/>
      <c r="B972" s="288"/>
      <c r="C972" s="289"/>
      <c r="D972" s="176"/>
      <c r="E972" s="176"/>
      <c r="F972" s="176"/>
      <c r="G972" s="176"/>
      <c r="H972" s="176"/>
      <c r="I972" s="177" t="s">
        <v>1411</v>
      </c>
      <c r="J972" s="226" t="s">
        <v>1390</v>
      </c>
      <c r="K972" s="214">
        <f>500000*10%</f>
        <v>50000</v>
      </c>
      <c r="L972" s="181"/>
      <c r="M972" s="181"/>
      <c r="N972" s="132"/>
      <c r="O972" s="132"/>
      <c r="P972" s="132"/>
      <c r="Q972" s="132"/>
      <c r="R972" s="132"/>
      <c r="S972" s="132"/>
      <c r="T972" s="132"/>
      <c r="U972" s="132"/>
      <c r="V972" s="132"/>
      <c r="W972" s="132"/>
      <c r="X972" s="132"/>
      <c r="Y972" s="132"/>
      <c r="Z972" s="132"/>
      <c r="AA972" s="132"/>
      <c r="AB972" s="132"/>
      <c r="AC972" s="132"/>
      <c r="AD972" s="132"/>
      <c r="AE972" s="132"/>
      <c r="AF972" s="132"/>
      <c r="AG972" s="132"/>
      <c r="AH972" s="132"/>
      <c r="AI972" s="132"/>
      <c r="AJ972" s="132"/>
      <c r="AK972" s="132"/>
      <c r="AL972" s="132"/>
      <c r="AM972" s="132"/>
      <c r="AN972" s="132"/>
      <c r="AO972" s="132"/>
      <c r="AP972" s="132"/>
      <c r="AQ972" s="132"/>
      <c r="AR972" s="132"/>
      <c r="AS972" s="132"/>
      <c r="AT972" s="132"/>
      <c r="AU972" s="132"/>
      <c r="AV972" s="132"/>
      <c r="AW972" s="132"/>
      <c r="AX972" s="132"/>
      <c r="AY972" s="132"/>
      <c r="AZ972" s="132"/>
      <c r="BA972" s="132"/>
      <c r="BB972" s="132"/>
    </row>
    <row r="973" spans="1:67" s="269" customFormat="1" ht="27.75" customHeight="1" x14ac:dyDescent="0.2">
      <c r="A973" s="245"/>
      <c r="B973" s="288"/>
      <c r="C973" s="289"/>
      <c r="D973" s="176"/>
      <c r="E973" s="176"/>
      <c r="F973" s="176"/>
      <c r="G973" s="176"/>
      <c r="H973" s="176"/>
      <c r="I973" s="184" t="s">
        <v>1412</v>
      </c>
      <c r="J973" s="207" t="s">
        <v>1390</v>
      </c>
      <c r="K973" s="382">
        <f>500000*30%</f>
        <v>150000</v>
      </c>
      <c r="L973" s="181"/>
      <c r="M973" s="181"/>
      <c r="N973" s="132"/>
      <c r="O973" s="132"/>
      <c r="P973" s="132"/>
      <c r="Q973" s="132"/>
      <c r="R973" s="132"/>
      <c r="S973" s="132"/>
      <c r="T973" s="132"/>
      <c r="U973" s="132"/>
      <c r="V973" s="132"/>
      <c r="W973" s="132"/>
      <c r="X973" s="132"/>
      <c r="Y973" s="132"/>
      <c r="Z973" s="132"/>
      <c r="AA973" s="132"/>
      <c r="AB973" s="132"/>
      <c r="AC973" s="132"/>
      <c r="AD973" s="132"/>
      <c r="AE973" s="132"/>
      <c r="AF973" s="132"/>
      <c r="AG973" s="132"/>
      <c r="AH973" s="132"/>
      <c r="AI973" s="132"/>
      <c r="AJ973" s="132"/>
      <c r="AK973" s="132"/>
      <c r="AL973" s="132"/>
      <c r="AM973" s="132"/>
      <c r="AN973" s="132"/>
      <c r="AO973" s="132"/>
      <c r="AP973" s="132"/>
      <c r="AQ973" s="132"/>
      <c r="AR973" s="132"/>
      <c r="AS973" s="132"/>
      <c r="AT973" s="132"/>
      <c r="AU973" s="132"/>
      <c r="AV973" s="132"/>
      <c r="AW973" s="132"/>
      <c r="AX973" s="132"/>
      <c r="AY973" s="132"/>
      <c r="AZ973" s="132"/>
      <c r="BA973" s="132"/>
      <c r="BB973" s="132"/>
    </row>
    <row r="974" spans="1:67" s="269" customFormat="1" ht="27.75" customHeight="1" x14ac:dyDescent="0.2">
      <c r="A974" s="246"/>
      <c r="B974" s="290"/>
      <c r="C974" s="291"/>
      <c r="D974" s="188"/>
      <c r="E974" s="188"/>
      <c r="F974" s="188"/>
      <c r="G974" s="188"/>
      <c r="H974" s="188"/>
      <c r="I974" s="189"/>
      <c r="J974" s="215"/>
      <c r="K974" s="247">
        <f>SUM(K971:K973)</f>
        <v>500000</v>
      </c>
      <c r="L974" s="193"/>
      <c r="M974" s="193"/>
      <c r="N974" s="132"/>
      <c r="O974" s="132"/>
      <c r="P974" s="132"/>
      <c r="Q974" s="132"/>
      <c r="R974" s="132"/>
      <c r="S974" s="132"/>
      <c r="T974" s="132"/>
      <c r="U974" s="132"/>
      <c r="V974" s="132"/>
      <c r="W974" s="132"/>
      <c r="X974" s="132"/>
      <c r="Y974" s="132"/>
      <c r="Z974" s="132"/>
      <c r="AA974" s="132"/>
      <c r="AB974" s="132"/>
      <c r="AC974" s="132"/>
      <c r="AD974" s="132"/>
      <c r="AE974" s="132"/>
      <c r="AF974" s="132"/>
      <c r="AG974" s="132"/>
      <c r="AH974" s="132"/>
      <c r="AI974" s="132"/>
      <c r="AJ974" s="132"/>
      <c r="AK974" s="132"/>
      <c r="AL974" s="132"/>
      <c r="AM974" s="132"/>
      <c r="AN974" s="132"/>
      <c r="AO974" s="132"/>
      <c r="AP974" s="132"/>
      <c r="AQ974" s="132"/>
      <c r="AR974" s="132"/>
      <c r="AS974" s="132"/>
      <c r="AT974" s="132"/>
      <c r="AU974" s="132"/>
      <c r="AV974" s="132"/>
      <c r="AW974" s="132"/>
      <c r="AX974" s="132"/>
      <c r="AY974" s="132"/>
      <c r="AZ974" s="132"/>
      <c r="BA974" s="132"/>
      <c r="BB974" s="132"/>
    </row>
    <row r="975" spans="1:67" ht="24.75" customHeight="1" x14ac:dyDescent="0.2">
      <c r="A975" s="163">
        <v>254</v>
      </c>
      <c r="B975" s="164" t="s">
        <v>1413</v>
      </c>
      <c r="C975" s="165"/>
      <c r="D975" s="166" t="s">
        <v>163</v>
      </c>
      <c r="E975" s="166"/>
      <c r="F975" s="166"/>
      <c r="G975" s="166"/>
      <c r="H975" s="248" t="s">
        <v>983</v>
      </c>
      <c r="I975" s="217" t="s">
        <v>1414</v>
      </c>
      <c r="J975" s="223" t="s">
        <v>1415</v>
      </c>
      <c r="K975" s="365">
        <f>K980*45%</f>
        <v>67500</v>
      </c>
      <c r="L975" s="195" t="s">
        <v>166</v>
      </c>
      <c r="M975" s="171" t="s">
        <v>1416</v>
      </c>
    </row>
    <row r="976" spans="1:67" ht="24.75" customHeight="1" x14ac:dyDescent="0.2">
      <c r="A976" s="173"/>
      <c r="B976" s="174"/>
      <c r="C976" s="175"/>
      <c r="D976" s="176"/>
      <c r="E976" s="176"/>
      <c r="F976" s="176"/>
      <c r="G976" s="176"/>
      <c r="H976" s="250"/>
      <c r="I976" s="184" t="s">
        <v>1417</v>
      </c>
      <c r="J976" s="207" t="s">
        <v>683</v>
      </c>
      <c r="K976" s="355">
        <f>K980*20%</f>
        <v>30000</v>
      </c>
      <c r="L976" s="197"/>
      <c r="M976" s="181"/>
    </row>
    <row r="977" spans="1:13" ht="24.75" customHeight="1" x14ac:dyDescent="0.2">
      <c r="A977" s="173"/>
      <c r="B977" s="174"/>
      <c r="C977" s="175"/>
      <c r="D977" s="176"/>
      <c r="E977" s="176"/>
      <c r="F977" s="176"/>
      <c r="G977" s="176"/>
      <c r="H977" s="250"/>
      <c r="I977" s="184" t="s">
        <v>1418</v>
      </c>
      <c r="J977" s="207" t="s">
        <v>275</v>
      </c>
      <c r="K977" s="355">
        <f>K980*15%</f>
        <v>22500</v>
      </c>
      <c r="L977" s="197"/>
      <c r="M977" s="181"/>
    </row>
    <row r="978" spans="1:13" ht="24.75" customHeight="1" x14ac:dyDescent="0.2">
      <c r="A978" s="173"/>
      <c r="B978" s="174"/>
      <c r="C978" s="175"/>
      <c r="D978" s="176"/>
      <c r="E978" s="176"/>
      <c r="F978" s="176"/>
      <c r="G978" s="176"/>
      <c r="H978" s="250"/>
      <c r="I978" s="184" t="s">
        <v>1419</v>
      </c>
      <c r="J978" s="207" t="s">
        <v>683</v>
      </c>
      <c r="K978" s="355">
        <f>K980*10%</f>
        <v>15000</v>
      </c>
      <c r="L978" s="197"/>
      <c r="M978" s="181"/>
    </row>
    <row r="979" spans="1:13" ht="24.75" customHeight="1" x14ac:dyDescent="0.2">
      <c r="A979" s="173"/>
      <c r="B979" s="174"/>
      <c r="C979" s="175"/>
      <c r="D979" s="176"/>
      <c r="E979" s="176"/>
      <c r="F979" s="176"/>
      <c r="G979" s="176"/>
      <c r="H979" s="250"/>
      <c r="I979" s="184" t="s">
        <v>755</v>
      </c>
      <c r="J979" s="207" t="s">
        <v>683</v>
      </c>
      <c r="K979" s="355">
        <f>K980*10%</f>
        <v>15000</v>
      </c>
      <c r="L979" s="197"/>
      <c r="M979" s="181"/>
    </row>
    <row r="980" spans="1:13" ht="24.75" customHeight="1" x14ac:dyDescent="0.2">
      <c r="A980" s="185"/>
      <c r="B980" s="186"/>
      <c r="C980" s="187"/>
      <c r="D980" s="188"/>
      <c r="E980" s="188"/>
      <c r="F980" s="188"/>
      <c r="G980" s="188"/>
      <c r="H980" s="251"/>
      <c r="I980" s="202"/>
      <c r="J980" s="203"/>
      <c r="K980" s="366">
        <v>150000</v>
      </c>
      <c r="L980" s="205"/>
      <c r="M980" s="193"/>
    </row>
    <row r="981" spans="1:13" ht="22.5" customHeight="1" x14ac:dyDescent="0.2">
      <c r="A981" s="163">
        <v>255</v>
      </c>
      <c r="B981" s="164" t="s">
        <v>1420</v>
      </c>
      <c r="C981" s="165"/>
      <c r="D981" s="166" t="s">
        <v>163</v>
      </c>
      <c r="E981" s="166"/>
      <c r="F981" s="166"/>
      <c r="G981" s="166"/>
      <c r="H981" s="248" t="s">
        <v>1421</v>
      </c>
      <c r="I981" s="217" t="s">
        <v>1422</v>
      </c>
      <c r="J981" s="223" t="s">
        <v>1415</v>
      </c>
      <c r="K981" s="365">
        <f>K988*50%</f>
        <v>161100</v>
      </c>
      <c r="L981" s="195" t="s">
        <v>166</v>
      </c>
      <c r="M981" s="171" t="s">
        <v>1423</v>
      </c>
    </row>
    <row r="982" spans="1:13" x14ac:dyDescent="0.2">
      <c r="A982" s="173"/>
      <c r="B982" s="174"/>
      <c r="C982" s="175"/>
      <c r="D982" s="176"/>
      <c r="E982" s="176"/>
      <c r="F982" s="176"/>
      <c r="G982" s="176"/>
      <c r="H982" s="250"/>
      <c r="I982" s="184" t="s">
        <v>1424</v>
      </c>
      <c r="J982" s="207" t="s">
        <v>683</v>
      </c>
      <c r="K982" s="355">
        <f>K988*15%</f>
        <v>48330</v>
      </c>
      <c r="L982" s="197"/>
      <c r="M982" s="181"/>
    </row>
    <row r="983" spans="1:13" x14ac:dyDescent="0.2">
      <c r="A983" s="173"/>
      <c r="B983" s="174"/>
      <c r="C983" s="175"/>
      <c r="D983" s="176"/>
      <c r="E983" s="176"/>
      <c r="F983" s="176"/>
      <c r="G983" s="176"/>
      <c r="H983" s="250"/>
      <c r="I983" s="184" t="s">
        <v>1425</v>
      </c>
      <c r="J983" s="207" t="s">
        <v>683</v>
      </c>
      <c r="K983" s="355">
        <f>K988*15%</f>
        <v>48330</v>
      </c>
      <c r="L983" s="197"/>
      <c r="M983" s="181"/>
    </row>
    <row r="984" spans="1:13" x14ac:dyDescent="0.2">
      <c r="A984" s="173"/>
      <c r="B984" s="174"/>
      <c r="C984" s="175"/>
      <c r="D984" s="176"/>
      <c r="E984" s="176"/>
      <c r="F984" s="176"/>
      <c r="G984" s="176"/>
      <c r="H984" s="250"/>
      <c r="I984" s="184" t="s">
        <v>1426</v>
      </c>
      <c r="J984" s="207" t="s">
        <v>683</v>
      </c>
      <c r="K984" s="355">
        <f>K988*5%</f>
        <v>16110</v>
      </c>
      <c r="L984" s="197"/>
      <c r="M984" s="181"/>
    </row>
    <row r="985" spans="1:13" x14ac:dyDescent="0.2">
      <c r="A985" s="173"/>
      <c r="B985" s="174"/>
      <c r="C985" s="175"/>
      <c r="D985" s="176"/>
      <c r="E985" s="176"/>
      <c r="F985" s="176"/>
      <c r="G985" s="176"/>
      <c r="H985" s="250"/>
      <c r="I985" s="184" t="s">
        <v>1427</v>
      </c>
      <c r="J985" s="207" t="s">
        <v>683</v>
      </c>
      <c r="K985" s="355">
        <f>K988*5%</f>
        <v>16110</v>
      </c>
      <c r="L985" s="197"/>
      <c r="M985" s="181"/>
    </row>
    <row r="986" spans="1:13" x14ac:dyDescent="0.2">
      <c r="A986" s="173"/>
      <c r="B986" s="174"/>
      <c r="C986" s="175"/>
      <c r="D986" s="176"/>
      <c r="E986" s="176"/>
      <c r="F986" s="176"/>
      <c r="G986" s="176"/>
      <c r="H986" s="250"/>
      <c r="I986" s="184" t="s">
        <v>1428</v>
      </c>
      <c r="J986" s="207" t="s">
        <v>117</v>
      </c>
      <c r="K986" s="355">
        <f>K988*5%</f>
        <v>16110</v>
      </c>
      <c r="L986" s="197"/>
      <c r="M986" s="181"/>
    </row>
    <row r="987" spans="1:13" x14ac:dyDescent="0.2">
      <c r="A987" s="173"/>
      <c r="B987" s="174"/>
      <c r="C987" s="175"/>
      <c r="D987" s="176"/>
      <c r="E987" s="176"/>
      <c r="F987" s="176"/>
      <c r="G987" s="176"/>
      <c r="H987" s="250"/>
      <c r="I987" s="184" t="s">
        <v>1429</v>
      </c>
      <c r="J987" s="207" t="s">
        <v>556</v>
      </c>
      <c r="K987" s="355">
        <f>K988*5%</f>
        <v>16110</v>
      </c>
      <c r="L987" s="197"/>
      <c r="M987" s="181"/>
    </row>
    <row r="988" spans="1:13" x14ac:dyDescent="0.2">
      <c r="A988" s="185"/>
      <c r="B988" s="186"/>
      <c r="C988" s="187"/>
      <c r="D988" s="188"/>
      <c r="E988" s="188"/>
      <c r="F988" s="188"/>
      <c r="G988" s="188"/>
      <c r="H988" s="251"/>
      <c r="I988" s="189"/>
      <c r="J988" s="215"/>
      <c r="K988" s="364">
        <v>322200</v>
      </c>
      <c r="L988" s="205"/>
      <c r="M988" s="193"/>
    </row>
    <row r="989" spans="1:13" ht="23.25" customHeight="1" x14ac:dyDescent="0.2">
      <c r="A989" s="163">
        <v>256</v>
      </c>
      <c r="B989" s="164" t="s">
        <v>1430</v>
      </c>
      <c r="C989" s="165"/>
      <c r="D989" s="166" t="s">
        <v>107</v>
      </c>
      <c r="E989" s="166"/>
      <c r="F989" s="166"/>
      <c r="G989" s="166"/>
      <c r="H989" s="248"/>
      <c r="I989" s="217" t="s">
        <v>1431</v>
      </c>
      <c r="J989" s="223" t="s">
        <v>1415</v>
      </c>
      <c r="K989" s="365">
        <f>K994*80%</f>
        <v>7200</v>
      </c>
      <c r="L989" s="195" t="s">
        <v>111</v>
      </c>
      <c r="M989" s="171" t="s">
        <v>1432</v>
      </c>
    </row>
    <row r="990" spans="1:13" x14ac:dyDescent="0.2">
      <c r="A990" s="173"/>
      <c r="B990" s="174"/>
      <c r="C990" s="175"/>
      <c r="D990" s="176"/>
      <c r="E990" s="176"/>
      <c r="F990" s="176"/>
      <c r="G990" s="176"/>
      <c r="H990" s="250"/>
      <c r="I990" s="184" t="s">
        <v>1433</v>
      </c>
      <c r="J990" s="207" t="s">
        <v>1434</v>
      </c>
      <c r="K990" s="355">
        <f>K994*5%</f>
        <v>450</v>
      </c>
      <c r="L990" s="197"/>
      <c r="M990" s="181"/>
    </row>
    <row r="991" spans="1:13" x14ac:dyDescent="0.2">
      <c r="A991" s="173"/>
      <c r="B991" s="174"/>
      <c r="C991" s="175"/>
      <c r="D991" s="176"/>
      <c r="E991" s="176"/>
      <c r="F991" s="176"/>
      <c r="G991" s="176"/>
      <c r="H991" s="250"/>
      <c r="I991" s="184" t="s">
        <v>1435</v>
      </c>
      <c r="J991" s="207" t="s">
        <v>1434</v>
      </c>
      <c r="K991" s="355">
        <f>K994*5%</f>
        <v>450</v>
      </c>
      <c r="L991" s="197"/>
      <c r="M991" s="181"/>
    </row>
    <row r="992" spans="1:13" x14ac:dyDescent="0.2">
      <c r="A992" s="173"/>
      <c r="B992" s="174"/>
      <c r="C992" s="175"/>
      <c r="D992" s="176"/>
      <c r="E992" s="176"/>
      <c r="F992" s="176"/>
      <c r="G992" s="176"/>
      <c r="H992" s="250"/>
      <c r="I992" s="184" t="s">
        <v>1436</v>
      </c>
      <c r="J992" s="207" t="s">
        <v>1434</v>
      </c>
      <c r="K992" s="355">
        <f>K994*5%</f>
        <v>450</v>
      </c>
      <c r="L992" s="197"/>
      <c r="M992" s="181"/>
    </row>
    <row r="993" spans="1:13" x14ac:dyDescent="0.2">
      <c r="A993" s="173"/>
      <c r="B993" s="174"/>
      <c r="C993" s="175"/>
      <c r="D993" s="176"/>
      <c r="E993" s="176"/>
      <c r="F993" s="176"/>
      <c r="G993" s="176"/>
      <c r="H993" s="250"/>
      <c r="I993" s="184" t="s">
        <v>1437</v>
      </c>
      <c r="J993" s="207" t="s">
        <v>1434</v>
      </c>
      <c r="K993" s="355">
        <f>K994*5%</f>
        <v>450</v>
      </c>
      <c r="L993" s="197"/>
      <c r="M993" s="181"/>
    </row>
    <row r="994" spans="1:13" x14ac:dyDescent="0.2">
      <c r="A994" s="185"/>
      <c r="B994" s="186"/>
      <c r="C994" s="187"/>
      <c r="D994" s="188"/>
      <c r="E994" s="188"/>
      <c r="F994" s="188"/>
      <c r="G994" s="188"/>
      <c r="H994" s="251"/>
      <c r="I994" s="202"/>
      <c r="J994" s="203"/>
      <c r="K994" s="366">
        <v>9000</v>
      </c>
      <c r="L994" s="205"/>
      <c r="M994" s="193"/>
    </row>
    <row r="995" spans="1:13" ht="22.5" customHeight="1" x14ac:dyDescent="0.2">
      <c r="A995" s="163">
        <v>257</v>
      </c>
      <c r="B995" s="164" t="s">
        <v>1438</v>
      </c>
      <c r="C995" s="165"/>
      <c r="D995" s="166" t="s">
        <v>107</v>
      </c>
      <c r="E995" s="166"/>
      <c r="F995" s="166"/>
      <c r="G995" s="166"/>
      <c r="H995" s="248" t="s">
        <v>137</v>
      </c>
      <c r="I995" s="217" t="s">
        <v>1439</v>
      </c>
      <c r="J995" s="223" t="s">
        <v>1002</v>
      </c>
      <c r="K995" s="365">
        <f>K998*5%</f>
        <v>900</v>
      </c>
      <c r="L995" s="195" t="s">
        <v>111</v>
      </c>
      <c r="M995" s="171" t="s">
        <v>1440</v>
      </c>
    </row>
    <row r="996" spans="1:13" x14ac:dyDescent="0.2">
      <c r="A996" s="173"/>
      <c r="B996" s="174"/>
      <c r="C996" s="175"/>
      <c r="D996" s="176"/>
      <c r="E996" s="176"/>
      <c r="F996" s="176"/>
      <c r="G996" s="176"/>
      <c r="H996" s="250"/>
      <c r="I996" s="184" t="s">
        <v>1441</v>
      </c>
      <c r="J996" s="207" t="s">
        <v>683</v>
      </c>
      <c r="K996" s="355">
        <f>K998*25%</f>
        <v>4500</v>
      </c>
      <c r="L996" s="197"/>
      <c r="M996" s="181"/>
    </row>
    <row r="997" spans="1:13" x14ac:dyDescent="0.2">
      <c r="A997" s="173"/>
      <c r="B997" s="174"/>
      <c r="C997" s="175"/>
      <c r="D997" s="176"/>
      <c r="E997" s="176"/>
      <c r="F997" s="176"/>
      <c r="G997" s="176"/>
      <c r="H997" s="250"/>
      <c r="I997" s="184" t="s">
        <v>1442</v>
      </c>
      <c r="J997" s="207" t="s">
        <v>275</v>
      </c>
      <c r="K997" s="355">
        <f>K998*70%</f>
        <v>12600</v>
      </c>
      <c r="L997" s="197"/>
      <c r="M997" s="181"/>
    </row>
    <row r="998" spans="1:13" x14ac:dyDescent="0.2">
      <c r="A998" s="185"/>
      <c r="B998" s="186"/>
      <c r="C998" s="187"/>
      <c r="D998" s="188"/>
      <c r="E998" s="188"/>
      <c r="F998" s="188"/>
      <c r="G998" s="188"/>
      <c r="H998" s="251"/>
      <c r="I998" s="202"/>
      <c r="J998" s="203"/>
      <c r="K998" s="366">
        <v>18000</v>
      </c>
      <c r="L998" s="205"/>
      <c r="M998" s="193"/>
    </row>
    <row r="999" spans="1:13" ht="21.75" customHeight="1" x14ac:dyDescent="0.2">
      <c r="A999" s="163">
        <v>258</v>
      </c>
      <c r="B999" s="164" t="s">
        <v>1443</v>
      </c>
      <c r="C999" s="165"/>
      <c r="D999" s="166" t="s">
        <v>107</v>
      </c>
      <c r="E999" s="166"/>
      <c r="F999" s="166"/>
      <c r="G999" s="166"/>
      <c r="H999" s="248"/>
      <c r="I999" s="217" t="s">
        <v>1444</v>
      </c>
      <c r="J999" s="223" t="s">
        <v>1415</v>
      </c>
      <c r="K999" s="365">
        <f>K1008*60%</f>
        <v>8400</v>
      </c>
      <c r="L999" s="195" t="s">
        <v>111</v>
      </c>
      <c r="M999" s="171" t="s">
        <v>1445</v>
      </c>
    </row>
    <row r="1000" spans="1:13" x14ac:dyDescent="0.2">
      <c r="A1000" s="173"/>
      <c r="B1000" s="174"/>
      <c r="C1000" s="175"/>
      <c r="D1000" s="176"/>
      <c r="E1000" s="176"/>
      <c r="F1000" s="176"/>
      <c r="G1000" s="176"/>
      <c r="H1000" s="250"/>
      <c r="I1000" s="184" t="s">
        <v>1446</v>
      </c>
      <c r="J1000" s="207" t="s">
        <v>275</v>
      </c>
      <c r="K1000" s="355">
        <f>K1008*5%</f>
        <v>700</v>
      </c>
      <c r="L1000" s="197"/>
      <c r="M1000" s="181"/>
    </row>
    <row r="1001" spans="1:13" x14ac:dyDescent="0.2">
      <c r="A1001" s="173"/>
      <c r="B1001" s="174"/>
      <c r="C1001" s="175"/>
      <c r="D1001" s="176"/>
      <c r="E1001" s="176"/>
      <c r="F1001" s="176"/>
      <c r="G1001" s="176"/>
      <c r="H1001" s="250"/>
      <c r="I1001" s="184" t="s">
        <v>1447</v>
      </c>
      <c r="J1001" s="207" t="s">
        <v>275</v>
      </c>
      <c r="K1001" s="355">
        <f>K1008*5%</f>
        <v>700</v>
      </c>
      <c r="L1001" s="197"/>
      <c r="M1001" s="181"/>
    </row>
    <row r="1002" spans="1:13" x14ac:dyDescent="0.2">
      <c r="A1002" s="173"/>
      <c r="B1002" s="174"/>
      <c r="C1002" s="175"/>
      <c r="D1002" s="176"/>
      <c r="E1002" s="176"/>
      <c r="F1002" s="176"/>
      <c r="G1002" s="176"/>
      <c r="H1002" s="250"/>
      <c r="I1002" s="184" t="s">
        <v>1448</v>
      </c>
      <c r="J1002" s="207" t="s">
        <v>275</v>
      </c>
      <c r="K1002" s="355">
        <f>K1008*5%</f>
        <v>700</v>
      </c>
      <c r="L1002" s="197"/>
      <c r="M1002" s="181"/>
    </row>
    <row r="1003" spans="1:13" x14ac:dyDescent="0.2">
      <c r="A1003" s="173"/>
      <c r="B1003" s="174"/>
      <c r="C1003" s="175"/>
      <c r="D1003" s="176"/>
      <c r="E1003" s="176"/>
      <c r="F1003" s="176"/>
      <c r="G1003" s="176"/>
      <c r="H1003" s="250"/>
      <c r="I1003" s="184" t="s">
        <v>1449</v>
      </c>
      <c r="J1003" s="207" t="s">
        <v>275</v>
      </c>
      <c r="K1003" s="355">
        <f>K1008*5%</f>
        <v>700</v>
      </c>
      <c r="L1003" s="197"/>
      <c r="M1003" s="181"/>
    </row>
    <row r="1004" spans="1:13" x14ac:dyDescent="0.2">
      <c r="A1004" s="173"/>
      <c r="B1004" s="174"/>
      <c r="C1004" s="175"/>
      <c r="D1004" s="176"/>
      <c r="E1004" s="176"/>
      <c r="F1004" s="176"/>
      <c r="G1004" s="176"/>
      <c r="H1004" s="250"/>
      <c r="I1004" s="184" t="s">
        <v>1450</v>
      </c>
      <c r="J1004" s="207" t="s">
        <v>275</v>
      </c>
      <c r="K1004" s="355">
        <f>K1008*5%</f>
        <v>700</v>
      </c>
      <c r="L1004" s="197"/>
      <c r="M1004" s="181"/>
    </row>
    <row r="1005" spans="1:13" x14ac:dyDescent="0.2">
      <c r="A1005" s="173"/>
      <c r="B1005" s="174"/>
      <c r="C1005" s="175"/>
      <c r="D1005" s="176"/>
      <c r="E1005" s="176"/>
      <c r="F1005" s="176"/>
      <c r="G1005" s="176"/>
      <c r="H1005" s="250"/>
      <c r="I1005" s="184" t="s">
        <v>1451</v>
      </c>
      <c r="J1005" s="207" t="s">
        <v>1452</v>
      </c>
      <c r="K1005" s="355">
        <f>K1008*5%</f>
        <v>700</v>
      </c>
      <c r="L1005" s="197"/>
      <c r="M1005" s="181"/>
    </row>
    <row r="1006" spans="1:13" x14ac:dyDescent="0.2">
      <c r="A1006" s="173"/>
      <c r="B1006" s="174"/>
      <c r="C1006" s="175"/>
      <c r="D1006" s="176"/>
      <c r="E1006" s="176"/>
      <c r="F1006" s="176"/>
      <c r="G1006" s="176"/>
      <c r="H1006" s="250"/>
      <c r="I1006" s="184" t="s">
        <v>1453</v>
      </c>
      <c r="J1006" s="207" t="s">
        <v>275</v>
      </c>
      <c r="K1006" s="355">
        <f>K1008*5%</f>
        <v>700</v>
      </c>
      <c r="L1006" s="197"/>
      <c r="M1006" s="181"/>
    </row>
    <row r="1007" spans="1:13" x14ac:dyDescent="0.2">
      <c r="A1007" s="173"/>
      <c r="B1007" s="174"/>
      <c r="C1007" s="175"/>
      <c r="D1007" s="176"/>
      <c r="E1007" s="176"/>
      <c r="F1007" s="176"/>
      <c r="G1007" s="176"/>
      <c r="H1007" s="250"/>
      <c r="I1007" s="184" t="s">
        <v>704</v>
      </c>
      <c r="J1007" s="207" t="s">
        <v>683</v>
      </c>
      <c r="K1007" s="355">
        <f>K1008*5%</f>
        <v>700</v>
      </c>
      <c r="L1007" s="197"/>
      <c r="M1007" s="181"/>
    </row>
    <row r="1008" spans="1:13" x14ac:dyDescent="0.2">
      <c r="A1008" s="185"/>
      <c r="B1008" s="186"/>
      <c r="C1008" s="187"/>
      <c r="D1008" s="188"/>
      <c r="E1008" s="188"/>
      <c r="F1008" s="188"/>
      <c r="G1008" s="188"/>
      <c r="H1008" s="251"/>
      <c r="I1008" s="202"/>
      <c r="J1008" s="203"/>
      <c r="K1008" s="366">
        <v>14000</v>
      </c>
      <c r="L1008" s="205"/>
      <c r="M1008" s="193"/>
    </row>
    <row r="1009" spans="1:13" ht="24" customHeight="1" x14ac:dyDescent="0.2">
      <c r="A1009" s="163">
        <v>259</v>
      </c>
      <c r="B1009" s="164" t="s">
        <v>1454</v>
      </c>
      <c r="C1009" s="165"/>
      <c r="D1009" s="166" t="s">
        <v>107</v>
      </c>
      <c r="E1009" s="166"/>
      <c r="F1009" s="166"/>
      <c r="G1009" s="166"/>
      <c r="H1009" s="248" t="s">
        <v>108</v>
      </c>
      <c r="I1009" s="217" t="s">
        <v>1455</v>
      </c>
      <c r="J1009" s="223" t="s">
        <v>369</v>
      </c>
      <c r="K1009" s="365">
        <f>K1013*20%</f>
        <v>2700</v>
      </c>
      <c r="L1009" s="195" t="s">
        <v>111</v>
      </c>
      <c r="M1009" s="171" t="s">
        <v>1456</v>
      </c>
    </row>
    <row r="1010" spans="1:13" x14ac:dyDescent="0.2">
      <c r="A1010" s="173"/>
      <c r="B1010" s="174"/>
      <c r="C1010" s="175"/>
      <c r="D1010" s="176"/>
      <c r="E1010" s="176"/>
      <c r="F1010" s="176"/>
      <c r="G1010" s="176"/>
      <c r="H1010" s="250"/>
      <c r="I1010" s="184" t="s">
        <v>1457</v>
      </c>
      <c r="J1010" s="207" t="s">
        <v>576</v>
      </c>
      <c r="K1010" s="355">
        <f>K1013*10%</f>
        <v>1350</v>
      </c>
      <c r="L1010" s="197"/>
      <c r="M1010" s="181"/>
    </row>
    <row r="1011" spans="1:13" x14ac:dyDescent="0.2">
      <c r="A1011" s="173"/>
      <c r="B1011" s="174"/>
      <c r="C1011" s="175"/>
      <c r="D1011" s="176"/>
      <c r="E1011" s="176"/>
      <c r="F1011" s="176"/>
      <c r="G1011" s="176"/>
      <c r="H1011" s="250"/>
      <c r="I1011" s="184" t="s">
        <v>1458</v>
      </c>
      <c r="J1011" s="207" t="s">
        <v>576</v>
      </c>
      <c r="K1011" s="355">
        <f>K1008*10%</f>
        <v>1400</v>
      </c>
      <c r="L1011" s="197"/>
      <c r="M1011" s="181"/>
    </row>
    <row r="1012" spans="1:13" x14ac:dyDescent="0.2">
      <c r="A1012" s="173"/>
      <c r="B1012" s="174"/>
      <c r="C1012" s="175"/>
      <c r="D1012" s="176"/>
      <c r="E1012" s="176"/>
      <c r="F1012" s="176"/>
      <c r="G1012" s="176"/>
      <c r="H1012" s="250"/>
      <c r="I1012" s="184" t="s">
        <v>1459</v>
      </c>
      <c r="J1012" s="207" t="s">
        <v>576</v>
      </c>
      <c r="K1012" s="355">
        <f>K1008*20%</f>
        <v>2800</v>
      </c>
      <c r="L1012" s="197"/>
      <c r="M1012" s="181"/>
    </row>
    <row r="1013" spans="1:13" x14ac:dyDescent="0.2">
      <c r="A1013" s="185"/>
      <c r="B1013" s="186"/>
      <c r="C1013" s="187"/>
      <c r="D1013" s="188"/>
      <c r="E1013" s="188"/>
      <c r="F1013" s="188"/>
      <c r="G1013" s="188"/>
      <c r="H1013" s="251"/>
      <c r="I1013" s="202"/>
      <c r="J1013" s="203"/>
      <c r="K1013" s="366">
        <v>13500</v>
      </c>
      <c r="L1013" s="205"/>
      <c r="M1013" s="193"/>
    </row>
    <row r="1014" spans="1:13" ht="24" customHeight="1" x14ac:dyDescent="0.2">
      <c r="A1014" s="163">
        <v>260</v>
      </c>
      <c r="B1014" s="164" t="s">
        <v>1460</v>
      </c>
      <c r="C1014" s="165"/>
      <c r="D1014" s="166" t="s">
        <v>107</v>
      </c>
      <c r="E1014" s="166"/>
      <c r="F1014" s="166"/>
      <c r="G1014" s="166"/>
      <c r="H1014" s="248" t="s">
        <v>164</v>
      </c>
      <c r="I1014" s="217" t="s">
        <v>1461</v>
      </c>
      <c r="J1014" s="223" t="s">
        <v>1415</v>
      </c>
      <c r="K1014" s="365">
        <f>K1016*80%</f>
        <v>16000</v>
      </c>
      <c r="L1014" s="195" t="s">
        <v>111</v>
      </c>
      <c r="M1014" s="171" t="s">
        <v>1462</v>
      </c>
    </row>
    <row r="1015" spans="1:13" x14ac:dyDescent="0.2">
      <c r="A1015" s="173"/>
      <c r="B1015" s="174"/>
      <c r="C1015" s="175"/>
      <c r="D1015" s="176"/>
      <c r="E1015" s="176"/>
      <c r="F1015" s="176"/>
      <c r="G1015" s="176"/>
      <c r="H1015" s="250"/>
      <c r="I1015" s="184" t="s">
        <v>1463</v>
      </c>
      <c r="J1015" s="207" t="s">
        <v>576</v>
      </c>
      <c r="K1015" s="355">
        <f>K1016*20%</f>
        <v>4000</v>
      </c>
      <c r="L1015" s="197"/>
      <c r="M1015" s="181"/>
    </row>
    <row r="1016" spans="1:13" x14ac:dyDescent="0.2">
      <c r="A1016" s="185"/>
      <c r="B1016" s="186"/>
      <c r="C1016" s="187"/>
      <c r="D1016" s="188"/>
      <c r="E1016" s="188"/>
      <c r="F1016" s="188"/>
      <c r="G1016" s="188"/>
      <c r="H1016" s="251"/>
      <c r="I1016" s="202"/>
      <c r="J1016" s="203"/>
      <c r="K1016" s="366">
        <v>20000</v>
      </c>
      <c r="L1016" s="205"/>
      <c r="M1016" s="193"/>
    </row>
    <row r="1017" spans="1:13" ht="29.25" customHeight="1" x14ac:dyDescent="0.2">
      <c r="A1017" s="232">
        <v>261</v>
      </c>
      <c r="B1017" s="255" t="s">
        <v>1464</v>
      </c>
      <c r="C1017" s="256" t="s">
        <v>1464</v>
      </c>
      <c r="D1017" s="258" t="s">
        <v>107</v>
      </c>
      <c r="E1017" s="258"/>
      <c r="F1017" s="258"/>
      <c r="G1017" s="258"/>
      <c r="H1017" s="424"/>
      <c r="I1017" s="189" t="s">
        <v>1465</v>
      </c>
      <c r="J1017" s="215" t="s">
        <v>683</v>
      </c>
      <c r="K1017" s="400">
        <v>8000</v>
      </c>
      <c r="L1017" s="306" t="s">
        <v>111</v>
      </c>
      <c r="M1017" s="189" t="s">
        <v>1466</v>
      </c>
    </row>
    <row r="1018" spans="1:13" ht="54.75" customHeight="1" x14ac:dyDescent="0.2">
      <c r="A1018" s="232">
        <v>262</v>
      </c>
      <c r="B1018" s="255" t="s">
        <v>1467</v>
      </c>
      <c r="C1018" s="256" t="s">
        <v>1467</v>
      </c>
      <c r="D1018" s="258" t="s">
        <v>163</v>
      </c>
      <c r="E1018" s="258"/>
      <c r="F1018" s="258"/>
      <c r="G1018" s="258"/>
      <c r="H1018" s="259"/>
      <c r="I1018" s="189" t="s">
        <v>1468</v>
      </c>
      <c r="J1018" s="215" t="s">
        <v>683</v>
      </c>
      <c r="K1018" s="401">
        <v>500000</v>
      </c>
      <c r="L1018" s="402" t="s">
        <v>166</v>
      </c>
      <c r="M1018" s="189" t="s">
        <v>1469</v>
      </c>
    </row>
    <row r="1019" spans="1:13" ht="63" customHeight="1" x14ac:dyDescent="0.2">
      <c r="A1019" s="232">
        <v>263</v>
      </c>
      <c r="B1019" s="255" t="s">
        <v>1470</v>
      </c>
      <c r="C1019" s="256" t="s">
        <v>1470</v>
      </c>
      <c r="D1019" s="258" t="s">
        <v>163</v>
      </c>
      <c r="E1019" s="258"/>
      <c r="F1019" s="258"/>
      <c r="G1019" s="258"/>
      <c r="H1019" s="259"/>
      <c r="I1019" s="189" t="s">
        <v>1471</v>
      </c>
      <c r="J1019" s="215" t="s">
        <v>683</v>
      </c>
      <c r="K1019" s="401">
        <v>530000</v>
      </c>
      <c r="L1019" s="402" t="s">
        <v>166</v>
      </c>
      <c r="M1019" s="189" t="s">
        <v>1472</v>
      </c>
    </row>
    <row r="1020" spans="1:13" ht="65.25" customHeight="1" x14ac:dyDescent="0.2">
      <c r="A1020" s="232">
        <v>264</v>
      </c>
      <c r="B1020" s="255" t="s">
        <v>1473</v>
      </c>
      <c r="C1020" s="256" t="s">
        <v>1473</v>
      </c>
      <c r="D1020" s="258" t="s">
        <v>163</v>
      </c>
      <c r="E1020" s="258"/>
      <c r="F1020" s="258"/>
      <c r="G1020" s="258"/>
      <c r="H1020" s="259"/>
      <c r="I1020" s="167" t="s">
        <v>1468</v>
      </c>
      <c r="J1020" s="168" t="s">
        <v>683</v>
      </c>
      <c r="K1020" s="399">
        <v>500000</v>
      </c>
      <c r="L1020" s="402" t="s">
        <v>166</v>
      </c>
      <c r="M1020" s="189" t="s">
        <v>1474</v>
      </c>
    </row>
    <row r="1021" spans="1:13" ht="24.75" customHeight="1" x14ac:dyDescent="0.2">
      <c r="A1021" s="163">
        <v>265</v>
      </c>
      <c r="B1021" s="164" t="s">
        <v>1475</v>
      </c>
      <c r="C1021" s="165"/>
      <c r="D1021" s="166" t="s">
        <v>163</v>
      </c>
      <c r="E1021" s="166"/>
      <c r="F1021" s="166"/>
      <c r="G1021" s="166"/>
      <c r="H1021" s="248" t="s">
        <v>164</v>
      </c>
      <c r="I1021" s="217" t="s">
        <v>1476</v>
      </c>
      <c r="J1021" s="223" t="s">
        <v>1415</v>
      </c>
      <c r="K1021" s="365">
        <f>K1023*80%</f>
        <v>424000</v>
      </c>
      <c r="L1021" s="195" t="s">
        <v>166</v>
      </c>
      <c r="M1021" s="171" t="s">
        <v>1477</v>
      </c>
    </row>
    <row r="1022" spans="1:13" x14ac:dyDescent="0.2">
      <c r="A1022" s="173"/>
      <c r="B1022" s="174"/>
      <c r="C1022" s="175"/>
      <c r="D1022" s="176"/>
      <c r="E1022" s="176"/>
      <c r="F1022" s="176"/>
      <c r="G1022" s="176"/>
      <c r="H1022" s="250"/>
      <c r="I1022" s="184" t="s">
        <v>1478</v>
      </c>
      <c r="J1022" s="207" t="s">
        <v>683</v>
      </c>
      <c r="K1022" s="355">
        <f>K1023*20%</f>
        <v>106000</v>
      </c>
      <c r="L1022" s="197"/>
      <c r="M1022" s="181"/>
    </row>
    <row r="1023" spans="1:13" x14ac:dyDescent="0.2">
      <c r="A1023" s="185"/>
      <c r="B1023" s="186"/>
      <c r="C1023" s="187"/>
      <c r="D1023" s="188"/>
      <c r="E1023" s="188"/>
      <c r="F1023" s="188"/>
      <c r="G1023" s="188"/>
      <c r="H1023" s="251"/>
      <c r="I1023" s="202"/>
      <c r="J1023" s="203"/>
      <c r="K1023" s="366">
        <v>530000</v>
      </c>
      <c r="L1023" s="205"/>
      <c r="M1023" s="193"/>
    </row>
    <row r="1024" spans="1:13" ht="23.25" customHeight="1" x14ac:dyDescent="0.2">
      <c r="A1024" s="163">
        <v>266</v>
      </c>
      <c r="B1024" s="164" t="s">
        <v>1479</v>
      </c>
      <c r="C1024" s="165"/>
      <c r="D1024" s="166" t="s">
        <v>163</v>
      </c>
      <c r="E1024" s="166"/>
      <c r="F1024" s="166"/>
      <c r="G1024" s="166"/>
      <c r="H1024" s="248" t="s">
        <v>137</v>
      </c>
      <c r="I1024" s="217" t="s">
        <v>1480</v>
      </c>
      <c r="J1024" s="223" t="s">
        <v>1415</v>
      </c>
      <c r="K1024" s="365">
        <f>K1027*90%</f>
        <v>1260000</v>
      </c>
      <c r="L1024" s="195" t="s">
        <v>166</v>
      </c>
      <c r="M1024" s="171" t="s">
        <v>1481</v>
      </c>
    </row>
    <row r="1025" spans="1:14" x14ac:dyDescent="0.2">
      <c r="A1025" s="173"/>
      <c r="B1025" s="174"/>
      <c r="C1025" s="175"/>
      <c r="D1025" s="176"/>
      <c r="E1025" s="176"/>
      <c r="F1025" s="176"/>
      <c r="G1025" s="176"/>
      <c r="H1025" s="250"/>
      <c r="I1025" s="184" t="s">
        <v>1482</v>
      </c>
      <c r="J1025" s="207" t="s">
        <v>683</v>
      </c>
      <c r="K1025" s="355">
        <f>K1027*5%</f>
        <v>70000</v>
      </c>
      <c r="L1025" s="197"/>
      <c r="M1025" s="181"/>
    </row>
    <row r="1026" spans="1:14" x14ac:dyDescent="0.2">
      <c r="A1026" s="173"/>
      <c r="B1026" s="174"/>
      <c r="C1026" s="175"/>
      <c r="D1026" s="176"/>
      <c r="E1026" s="176"/>
      <c r="F1026" s="176"/>
      <c r="G1026" s="176"/>
      <c r="H1026" s="250"/>
      <c r="I1026" s="184" t="s">
        <v>1483</v>
      </c>
      <c r="J1026" s="207" t="s">
        <v>683</v>
      </c>
      <c r="K1026" s="355">
        <f>K1027*5%</f>
        <v>70000</v>
      </c>
      <c r="L1026" s="197"/>
      <c r="M1026" s="181"/>
    </row>
    <row r="1027" spans="1:14" x14ac:dyDescent="0.2">
      <c r="A1027" s="185"/>
      <c r="B1027" s="186"/>
      <c r="C1027" s="187"/>
      <c r="D1027" s="188"/>
      <c r="E1027" s="188"/>
      <c r="F1027" s="188"/>
      <c r="G1027" s="188"/>
      <c r="H1027" s="251"/>
      <c r="I1027" s="202"/>
      <c r="J1027" s="203"/>
      <c r="K1027" s="366">
        <v>1400000</v>
      </c>
      <c r="L1027" s="205"/>
      <c r="M1027" s="193"/>
    </row>
    <row r="1028" spans="1:14" ht="24" customHeight="1" x14ac:dyDescent="0.2">
      <c r="A1028" s="163">
        <v>267</v>
      </c>
      <c r="B1028" s="164" t="s">
        <v>1484</v>
      </c>
      <c r="C1028" s="165"/>
      <c r="D1028" s="166" t="s">
        <v>163</v>
      </c>
      <c r="E1028" s="166"/>
      <c r="F1028" s="166"/>
      <c r="G1028" s="166"/>
      <c r="H1028" s="248"/>
      <c r="I1028" s="217" t="s">
        <v>1485</v>
      </c>
      <c r="J1028" s="223" t="s">
        <v>1415</v>
      </c>
      <c r="K1028" s="365">
        <f>K1032*85%</f>
        <v>459595</v>
      </c>
      <c r="L1028" s="195" t="s">
        <v>166</v>
      </c>
      <c r="M1028" s="171" t="s">
        <v>1486</v>
      </c>
    </row>
    <row r="1029" spans="1:14" x14ac:dyDescent="0.2">
      <c r="A1029" s="173"/>
      <c r="B1029" s="174"/>
      <c r="C1029" s="175"/>
      <c r="D1029" s="176"/>
      <c r="E1029" s="176"/>
      <c r="F1029" s="176"/>
      <c r="G1029" s="176"/>
      <c r="H1029" s="250"/>
      <c r="I1029" s="184" t="s">
        <v>1487</v>
      </c>
      <c r="J1029" s="207" t="s">
        <v>662</v>
      </c>
      <c r="K1029" s="355">
        <f>K1032*5%</f>
        <v>27035</v>
      </c>
      <c r="L1029" s="197"/>
      <c r="M1029" s="181"/>
    </row>
    <row r="1030" spans="1:14" x14ac:dyDescent="0.2">
      <c r="A1030" s="173"/>
      <c r="B1030" s="174"/>
      <c r="C1030" s="175"/>
      <c r="D1030" s="176"/>
      <c r="E1030" s="176"/>
      <c r="F1030" s="176"/>
      <c r="G1030" s="176"/>
      <c r="H1030" s="250"/>
      <c r="I1030" s="184" t="s">
        <v>1488</v>
      </c>
      <c r="J1030" s="207" t="s">
        <v>275</v>
      </c>
      <c r="K1030" s="355">
        <f>K1032*5%</f>
        <v>27035</v>
      </c>
      <c r="L1030" s="197"/>
      <c r="M1030" s="181"/>
    </row>
    <row r="1031" spans="1:14" x14ac:dyDescent="0.2">
      <c r="A1031" s="173"/>
      <c r="B1031" s="174"/>
      <c r="C1031" s="175"/>
      <c r="D1031" s="176"/>
      <c r="E1031" s="176"/>
      <c r="F1031" s="176"/>
      <c r="G1031" s="176"/>
      <c r="H1031" s="250"/>
      <c r="I1031" s="184" t="s">
        <v>1489</v>
      </c>
      <c r="J1031" s="207" t="s">
        <v>275</v>
      </c>
      <c r="K1031" s="355">
        <f>K1032*5%</f>
        <v>27035</v>
      </c>
      <c r="L1031" s="197"/>
      <c r="M1031" s="181"/>
    </row>
    <row r="1032" spans="1:14" x14ac:dyDescent="0.2">
      <c r="A1032" s="185"/>
      <c r="B1032" s="186"/>
      <c r="C1032" s="187"/>
      <c r="D1032" s="188"/>
      <c r="E1032" s="188"/>
      <c r="F1032" s="188"/>
      <c r="G1032" s="188"/>
      <c r="H1032" s="251"/>
      <c r="I1032" s="202"/>
      <c r="J1032" s="203"/>
      <c r="K1032" s="366">
        <v>540700</v>
      </c>
      <c r="L1032" s="205"/>
      <c r="M1032" s="193"/>
    </row>
    <row r="1033" spans="1:14" ht="25.5" customHeight="1" x14ac:dyDescent="0.2">
      <c r="A1033" s="163">
        <v>268</v>
      </c>
      <c r="B1033" s="164" t="s">
        <v>1490</v>
      </c>
      <c r="C1033" s="165"/>
      <c r="D1033" s="166" t="s">
        <v>163</v>
      </c>
      <c r="E1033" s="166"/>
      <c r="F1033" s="166"/>
      <c r="G1033" s="166"/>
      <c r="H1033" s="248" t="s">
        <v>983</v>
      </c>
      <c r="I1033" s="217" t="s">
        <v>1491</v>
      </c>
      <c r="J1033" s="223" t="s">
        <v>1415</v>
      </c>
      <c r="K1033" s="365">
        <f>K1037*60%</f>
        <v>444420</v>
      </c>
      <c r="L1033" s="195" t="s">
        <v>166</v>
      </c>
      <c r="M1033" s="425" t="s">
        <v>1492</v>
      </c>
    </row>
    <row r="1034" spans="1:14" x14ac:dyDescent="0.2">
      <c r="A1034" s="173"/>
      <c r="B1034" s="174"/>
      <c r="C1034" s="175"/>
      <c r="D1034" s="176"/>
      <c r="E1034" s="176"/>
      <c r="F1034" s="176"/>
      <c r="G1034" s="176"/>
      <c r="H1034" s="250"/>
      <c r="I1034" s="184" t="s">
        <v>1493</v>
      </c>
      <c r="J1034" s="207" t="s">
        <v>683</v>
      </c>
      <c r="K1034" s="355">
        <f>K1037*10%</f>
        <v>74070</v>
      </c>
      <c r="L1034" s="197"/>
      <c r="M1034" s="426"/>
    </row>
    <row r="1035" spans="1:14" x14ac:dyDescent="0.2">
      <c r="A1035" s="173"/>
      <c r="B1035" s="174"/>
      <c r="C1035" s="175"/>
      <c r="D1035" s="176"/>
      <c r="E1035" s="176"/>
      <c r="F1035" s="176"/>
      <c r="G1035" s="176"/>
      <c r="H1035" s="250"/>
      <c r="I1035" s="184" t="s">
        <v>1494</v>
      </c>
      <c r="J1035" s="207" t="s">
        <v>275</v>
      </c>
      <c r="K1035" s="355">
        <f>K1037*10%</f>
        <v>74070</v>
      </c>
      <c r="L1035" s="197"/>
      <c r="M1035" s="426"/>
    </row>
    <row r="1036" spans="1:14" x14ac:dyDescent="0.2">
      <c r="A1036" s="173"/>
      <c r="B1036" s="174"/>
      <c r="C1036" s="175"/>
      <c r="D1036" s="176"/>
      <c r="E1036" s="176"/>
      <c r="F1036" s="176"/>
      <c r="G1036" s="176"/>
      <c r="H1036" s="250"/>
      <c r="I1036" s="184" t="s">
        <v>1495</v>
      </c>
      <c r="J1036" s="207" t="s">
        <v>576</v>
      </c>
      <c r="K1036" s="355">
        <f>K1037*10%</f>
        <v>74070</v>
      </c>
      <c r="L1036" s="197"/>
      <c r="M1036" s="426"/>
      <c r="N1036" s="172"/>
    </row>
    <row r="1037" spans="1:14" x14ac:dyDescent="0.2">
      <c r="A1037" s="185"/>
      <c r="B1037" s="186"/>
      <c r="C1037" s="187"/>
      <c r="D1037" s="188"/>
      <c r="E1037" s="188"/>
      <c r="F1037" s="188"/>
      <c r="G1037" s="188"/>
      <c r="H1037" s="251"/>
      <c r="I1037" s="202"/>
      <c r="J1037" s="203"/>
      <c r="K1037" s="366">
        <v>740700</v>
      </c>
      <c r="L1037" s="205"/>
      <c r="M1037" s="427"/>
    </row>
    <row r="1038" spans="1:14" ht="23.25" customHeight="1" x14ac:dyDescent="0.2">
      <c r="A1038" s="163">
        <v>269</v>
      </c>
      <c r="B1038" s="164" t="s">
        <v>1496</v>
      </c>
      <c r="C1038" s="165"/>
      <c r="D1038" s="166" t="s">
        <v>163</v>
      </c>
      <c r="E1038" s="166"/>
      <c r="F1038" s="166"/>
      <c r="G1038" s="166"/>
      <c r="H1038" s="248" t="s">
        <v>1345</v>
      </c>
      <c r="I1038" s="217" t="s">
        <v>1497</v>
      </c>
      <c r="J1038" s="223" t="s">
        <v>1415</v>
      </c>
      <c r="K1038" s="365">
        <f>K1043*60%</f>
        <v>390000</v>
      </c>
      <c r="L1038" s="195" t="s">
        <v>166</v>
      </c>
      <c r="M1038" s="171" t="s">
        <v>1498</v>
      </c>
    </row>
    <row r="1039" spans="1:14" x14ac:dyDescent="0.2">
      <c r="A1039" s="173"/>
      <c r="B1039" s="174"/>
      <c r="C1039" s="175"/>
      <c r="D1039" s="176"/>
      <c r="E1039" s="176"/>
      <c r="F1039" s="176"/>
      <c r="G1039" s="176"/>
      <c r="H1039" s="250"/>
      <c r="I1039" s="184" t="s">
        <v>1499</v>
      </c>
      <c r="J1039" s="207" t="s">
        <v>683</v>
      </c>
      <c r="K1039" s="355">
        <f>K1043*10%</f>
        <v>65000</v>
      </c>
      <c r="L1039" s="197"/>
      <c r="M1039" s="181"/>
    </row>
    <row r="1040" spans="1:14" x14ac:dyDescent="0.2">
      <c r="A1040" s="173"/>
      <c r="B1040" s="174"/>
      <c r="C1040" s="175"/>
      <c r="D1040" s="176"/>
      <c r="E1040" s="176"/>
      <c r="F1040" s="176"/>
      <c r="G1040" s="176"/>
      <c r="H1040" s="250"/>
      <c r="I1040" s="184" t="s">
        <v>1500</v>
      </c>
      <c r="J1040" s="207" t="s">
        <v>683</v>
      </c>
      <c r="K1040" s="355">
        <f>K1043*10%</f>
        <v>65000</v>
      </c>
      <c r="L1040" s="197"/>
      <c r="M1040" s="181"/>
    </row>
    <row r="1041" spans="1:14" x14ac:dyDescent="0.2">
      <c r="A1041" s="173"/>
      <c r="B1041" s="174"/>
      <c r="C1041" s="175"/>
      <c r="D1041" s="176"/>
      <c r="E1041" s="176"/>
      <c r="F1041" s="176"/>
      <c r="G1041" s="176"/>
      <c r="H1041" s="250"/>
      <c r="I1041" s="184" t="s">
        <v>1494</v>
      </c>
      <c r="J1041" s="207" t="s">
        <v>275</v>
      </c>
      <c r="K1041" s="355">
        <f>K1043*10%</f>
        <v>65000</v>
      </c>
      <c r="L1041" s="197"/>
      <c r="M1041" s="181"/>
    </row>
    <row r="1042" spans="1:14" x14ac:dyDescent="0.2">
      <c r="A1042" s="173"/>
      <c r="B1042" s="174"/>
      <c r="C1042" s="175"/>
      <c r="D1042" s="176"/>
      <c r="E1042" s="176"/>
      <c r="F1042" s="176"/>
      <c r="G1042" s="176"/>
      <c r="H1042" s="250"/>
      <c r="I1042" s="184" t="s">
        <v>1501</v>
      </c>
      <c r="J1042" s="207" t="s">
        <v>683</v>
      </c>
      <c r="K1042" s="355">
        <f>K1043*10%</f>
        <v>65000</v>
      </c>
      <c r="L1042" s="197"/>
      <c r="M1042" s="181"/>
    </row>
    <row r="1043" spans="1:14" x14ac:dyDescent="0.2">
      <c r="A1043" s="185"/>
      <c r="B1043" s="186"/>
      <c r="C1043" s="187"/>
      <c r="D1043" s="188"/>
      <c r="E1043" s="188"/>
      <c r="F1043" s="188"/>
      <c r="G1043" s="188"/>
      <c r="H1043" s="251"/>
      <c r="I1043" s="202"/>
      <c r="J1043" s="203"/>
      <c r="K1043" s="366">
        <v>650000</v>
      </c>
      <c r="L1043" s="205"/>
      <c r="M1043" s="193"/>
    </row>
    <row r="1044" spans="1:14" ht="24" customHeight="1" x14ac:dyDescent="0.2">
      <c r="A1044" s="163">
        <v>270</v>
      </c>
      <c r="B1044" s="164" t="s">
        <v>1502</v>
      </c>
      <c r="C1044" s="165"/>
      <c r="D1044" s="166" t="s">
        <v>163</v>
      </c>
      <c r="E1044" s="166"/>
      <c r="F1044" s="166"/>
      <c r="G1044" s="166"/>
      <c r="H1044" s="248" t="s">
        <v>983</v>
      </c>
      <c r="I1044" s="217" t="s">
        <v>1503</v>
      </c>
      <c r="J1044" s="223" t="s">
        <v>1415</v>
      </c>
      <c r="K1044" s="268">
        <f>K1049*50%</f>
        <v>325000</v>
      </c>
      <c r="L1044" s="195" t="s">
        <v>166</v>
      </c>
      <c r="M1044" s="171" t="s">
        <v>1504</v>
      </c>
    </row>
    <row r="1045" spans="1:14" x14ac:dyDescent="0.2">
      <c r="A1045" s="173"/>
      <c r="B1045" s="174"/>
      <c r="C1045" s="175"/>
      <c r="D1045" s="176"/>
      <c r="E1045" s="176"/>
      <c r="F1045" s="176"/>
      <c r="G1045" s="176"/>
      <c r="H1045" s="250"/>
      <c r="I1045" s="184" t="s">
        <v>1505</v>
      </c>
      <c r="J1045" s="207" t="s">
        <v>683</v>
      </c>
      <c r="K1045" s="214">
        <f>K1049*20%</f>
        <v>130000</v>
      </c>
      <c r="L1045" s="197"/>
      <c r="M1045" s="181"/>
    </row>
    <row r="1046" spans="1:14" x14ac:dyDescent="0.2">
      <c r="A1046" s="173"/>
      <c r="B1046" s="174"/>
      <c r="C1046" s="175"/>
      <c r="D1046" s="176"/>
      <c r="E1046" s="176"/>
      <c r="F1046" s="176"/>
      <c r="G1046" s="176"/>
      <c r="H1046" s="250"/>
      <c r="I1046" s="184" t="s">
        <v>739</v>
      </c>
      <c r="J1046" s="207" t="s">
        <v>275</v>
      </c>
      <c r="K1046" s="214">
        <f>K1049*10%</f>
        <v>65000</v>
      </c>
      <c r="L1046" s="197"/>
      <c r="M1046" s="181"/>
    </row>
    <row r="1047" spans="1:14" x14ac:dyDescent="0.2">
      <c r="A1047" s="173"/>
      <c r="B1047" s="174"/>
      <c r="C1047" s="175"/>
      <c r="D1047" s="176"/>
      <c r="E1047" s="176"/>
      <c r="F1047" s="176"/>
      <c r="G1047" s="176"/>
      <c r="H1047" s="250"/>
      <c r="I1047" s="184" t="s">
        <v>1506</v>
      </c>
      <c r="J1047" s="207" t="s">
        <v>117</v>
      </c>
      <c r="K1047" s="214">
        <f>K1049*10%</f>
        <v>65000</v>
      </c>
      <c r="L1047" s="197"/>
      <c r="M1047" s="181"/>
      <c r="N1047" s="172"/>
    </row>
    <row r="1048" spans="1:14" x14ac:dyDescent="0.2">
      <c r="A1048" s="173"/>
      <c r="B1048" s="174"/>
      <c r="C1048" s="175"/>
      <c r="D1048" s="176"/>
      <c r="E1048" s="176"/>
      <c r="F1048" s="176"/>
      <c r="G1048" s="176"/>
      <c r="H1048" s="250"/>
      <c r="I1048" s="184" t="s">
        <v>1507</v>
      </c>
      <c r="J1048" s="207" t="s">
        <v>683</v>
      </c>
      <c r="K1048" s="214">
        <f>K1049*10%</f>
        <v>65000</v>
      </c>
      <c r="L1048" s="197"/>
      <c r="M1048" s="181"/>
    </row>
    <row r="1049" spans="1:14" x14ac:dyDescent="0.2">
      <c r="A1049" s="185"/>
      <c r="B1049" s="186"/>
      <c r="C1049" s="187"/>
      <c r="D1049" s="188"/>
      <c r="E1049" s="188"/>
      <c r="F1049" s="188"/>
      <c r="G1049" s="188"/>
      <c r="H1049" s="251"/>
      <c r="I1049" s="202"/>
      <c r="J1049" s="203"/>
      <c r="K1049" s="247">
        <v>650000</v>
      </c>
      <c r="L1049" s="205"/>
      <c r="M1049" s="193"/>
    </row>
    <row r="1050" spans="1:14" ht="24" customHeight="1" x14ac:dyDescent="0.2">
      <c r="A1050" s="163">
        <v>271</v>
      </c>
      <c r="B1050" s="164" t="s">
        <v>1508</v>
      </c>
      <c r="C1050" s="165"/>
      <c r="D1050" s="166" t="s">
        <v>163</v>
      </c>
      <c r="E1050" s="166"/>
      <c r="F1050" s="166"/>
      <c r="G1050" s="166"/>
      <c r="H1050" s="248" t="s">
        <v>983</v>
      </c>
      <c r="I1050" s="217" t="s">
        <v>1509</v>
      </c>
      <c r="J1050" s="223" t="s">
        <v>1415</v>
      </c>
      <c r="K1050" s="368">
        <f>K1054*70%</f>
        <v>140000</v>
      </c>
      <c r="L1050" s="195" t="s">
        <v>166</v>
      </c>
      <c r="M1050" s="171" t="s">
        <v>1510</v>
      </c>
    </row>
    <row r="1051" spans="1:14" x14ac:dyDescent="0.2">
      <c r="A1051" s="173"/>
      <c r="B1051" s="174"/>
      <c r="C1051" s="175"/>
      <c r="D1051" s="176"/>
      <c r="E1051" s="176"/>
      <c r="F1051" s="176"/>
      <c r="G1051" s="176"/>
      <c r="H1051" s="250"/>
      <c r="I1051" s="184" t="s">
        <v>1499</v>
      </c>
      <c r="J1051" s="207" t="s">
        <v>683</v>
      </c>
      <c r="K1051" s="355">
        <f>K1054*10%</f>
        <v>20000</v>
      </c>
      <c r="L1051" s="197"/>
      <c r="M1051" s="181"/>
    </row>
    <row r="1052" spans="1:14" x14ac:dyDescent="0.2">
      <c r="A1052" s="173"/>
      <c r="B1052" s="174"/>
      <c r="C1052" s="175"/>
      <c r="D1052" s="176"/>
      <c r="E1052" s="176"/>
      <c r="F1052" s="176"/>
      <c r="G1052" s="176"/>
      <c r="H1052" s="250"/>
      <c r="I1052" s="184" t="s">
        <v>1511</v>
      </c>
      <c r="J1052" s="207" t="s">
        <v>683</v>
      </c>
      <c r="K1052" s="355">
        <f>K1054*10%</f>
        <v>20000</v>
      </c>
      <c r="L1052" s="197"/>
      <c r="M1052" s="181"/>
    </row>
    <row r="1053" spans="1:14" x14ac:dyDescent="0.2">
      <c r="A1053" s="173"/>
      <c r="B1053" s="174"/>
      <c r="C1053" s="175"/>
      <c r="D1053" s="176"/>
      <c r="E1053" s="176"/>
      <c r="F1053" s="176"/>
      <c r="G1053" s="176"/>
      <c r="H1053" s="250"/>
      <c r="I1053" s="184" t="s">
        <v>1512</v>
      </c>
      <c r="J1053" s="207" t="s">
        <v>683</v>
      </c>
      <c r="K1053" s="355">
        <f>K1054*10%</f>
        <v>20000</v>
      </c>
      <c r="L1053" s="197"/>
      <c r="M1053" s="181"/>
    </row>
    <row r="1054" spans="1:14" x14ac:dyDescent="0.2">
      <c r="A1054" s="185"/>
      <c r="B1054" s="186"/>
      <c r="C1054" s="187"/>
      <c r="D1054" s="188"/>
      <c r="E1054" s="188"/>
      <c r="F1054" s="188"/>
      <c r="G1054" s="188"/>
      <c r="H1054" s="251"/>
      <c r="I1054" s="202"/>
      <c r="J1054" s="203"/>
      <c r="K1054" s="247">
        <v>200000</v>
      </c>
      <c r="L1054" s="205"/>
      <c r="M1054" s="193"/>
    </row>
    <row r="1055" spans="1:14" ht="21" customHeight="1" x14ac:dyDescent="0.2">
      <c r="A1055" s="163">
        <v>272</v>
      </c>
      <c r="B1055" s="164" t="s">
        <v>1513</v>
      </c>
      <c r="C1055" s="165"/>
      <c r="D1055" s="166" t="s">
        <v>163</v>
      </c>
      <c r="E1055" s="166"/>
      <c r="F1055" s="166"/>
      <c r="G1055" s="166"/>
      <c r="H1055" s="248" t="s">
        <v>1345</v>
      </c>
      <c r="I1055" s="217" t="s">
        <v>1514</v>
      </c>
      <c r="J1055" s="223" t="s">
        <v>1415</v>
      </c>
      <c r="K1055" s="368">
        <f>K1061*75%</f>
        <v>69225</v>
      </c>
      <c r="L1055" s="195" t="s">
        <v>166</v>
      </c>
      <c r="M1055" s="171" t="s">
        <v>1515</v>
      </c>
    </row>
    <row r="1056" spans="1:14" x14ac:dyDescent="0.2">
      <c r="A1056" s="173"/>
      <c r="B1056" s="174"/>
      <c r="C1056" s="175"/>
      <c r="D1056" s="176"/>
      <c r="E1056" s="176"/>
      <c r="F1056" s="176"/>
      <c r="G1056" s="176"/>
      <c r="H1056" s="250"/>
      <c r="I1056" s="184" t="s">
        <v>709</v>
      </c>
      <c r="J1056" s="207" t="s">
        <v>681</v>
      </c>
      <c r="K1056" s="355">
        <f>K1061*5%</f>
        <v>4615</v>
      </c>
      <c r="L1056" s="197"/>
      <c r="M1056" s="181"/>
    </row>
    <row r="1057" spans="1:14" x14ac:dyDescent="0.2">
      <c r="A1057" s="173"/>
      <c r="B1057" s="174"/>
      <c r="C1057" s="175"/>
      <c r="D1057" s="176"/>
      <c r="E1057" s="176"/>
      <c r="F1057" s="176"/>
      <c r="G1057" s="176"/>
      <c r="H1057" s="250"/>
      <c r="I1057" s="184" t="s">
        <v>1516</v>
      </c>
      <c r="J1057" s="207" t="s">
        <v>683</v>
      </c>
      <c r="K1057" s="355">
        <f>K1061*5%</f>
        <v>4615</v>
      </c>
      <c r="L1057" s="197"/>
      <c r="M1057" s="181"/>
    </row>
    <row r="1058" spans="1:14" x14ac:dyDescent="0.2">
      <c r="A1058" s="173"/>
      <c r="B1058" s="174"/>
      <c r="C1058" s="175"/>
      <c r="D1058" s="176"/>
      <c r="E1058" s="176"/>
      <c r="F1058" s="176"/>
      <c r="G1058" s="176"/>
      <c r="H1058" s="250"/>
      <c r="I1058" s="184" t="s">
        <v>1517</v>
      </c>
      <c r="J1058" s="207" t="s">
        <v>683</v>
      </c>
      <c r="K1058" s="355">
        <f>K1061*5%</f>
        <v>4615</v>
      </c>
      <c r="L1058" s="197"/>
      <c r="M1058" s="181"/>
    </row>
    <row r="1059" spans="1:14" x14ac:dyDescent="0.2">
      <c r="A1059" s="173"/>
      <c r="B1059" s="174"/>
      <c r="C1059" s="175"/>
      <c r="D1059" s="176"/>
      <c r="E1059" s="176"/>
      <c r="F1059" s="176"/>
      <c r="G1059" s="176"/>
      <c r="H1059" s="250"/>
      <c r="I1059" s="184" t="s">
        <v>1518</v>
      </c>
      <c r="J1059" s="207" t="s">
        <v>117</v>
      </c>
      <c r="K1059" s="355">
        <f>K1061*5%</f>
        <v>4615</v>
      </c>
      <c r="L1059" s="197"/>
      <c r="M1059" s="181"/>
      <c r="N1059" s="172"/>
    </row>
    <row r="1060" spans="1:14" x14ac:dyDescent="0.2">
      <c r="A1060" s="173"/>
      <c r="B1060" s="174"/>
      <c r="C1060" s="175"/>
      <c r="D1060" s="176"/>
      <c r="E1060" s="176"/>
      <c r="F1060" s="176"/>
      <c r="G1060" s="176"/>
      <c r="H1060" s="250"/>
      <c r="I1060" s="184" t="s">
        <v>1519</v>
      </c>
      <c r="J1060" s="207" t="s">
        <v>683</v>
      </c>
      <c r="K1060" s="355">
        <f>K1066*5%</f>
        <v>4615</v>
      </c>
      <c r="L1060" s="197"/>
      <c r="M1060" s="181"/>
    </row>
    <row r="1061" spans="1:14" x14ac:dyDescent="0.2">
      <c r="A1061" s="185"/>
      <c r="B1061" s="186"/>
      <c r="C1061" s="187"/>
      <c r="D1061" s="188"/>
      <c r="E1061" s="188"/>
      <c r="F1061" s="188"/>
      <c r="G1061" s="188"/>
      <c r="H1061" s="251"/>
      <c r="I1061" s="202"/>
      <c r="J1061" s="203"/>
      <c r="K1061" s="361">
        <v>92300</v>
      </c>
      <c r="L1061" s="205"/>
      <c r="M1061" s="193"/>
    </row>
    <row r="1062" spans="1:14" ht="23.25" customHeight="1" x14ac:dyDescent="0.2">
      <c r="A1062" s="163">
        <v>273</v>
      </c>
      <c r="B1062" s="164" t="s">
        <v>1520</v>
      </c>
      <c r="C1062" s="165"/>
      <c r="D1062" s="166" t="s">
        <v>163</v>
      </c>
      <c r="E1062" s="166"/>
      <c r="F1062" s="166"/>
      <c r="G1062" s="166"/>
      <c r="H1062" s="248" t="s">
        <v>108</v>
      </c>
      <c r="I1062" s="217" t="s">
        <v>1521</v>
      </c>
      <c r="J1062" s="223" t="s">
        <v>1415</v>
      </c>
      <c r="K1062" s="365">
        <f>K1066*60%</f>
        <v>55380</v>
      </c>
      <c r="L1062" s="195" t="s">
        <v>166</v>
      </c>
      <c r="M1062" s="171" t="s">
        <v>1522</v>
      </c>
    </row>
    <row r="1063" spans="1:14" x14ac:dyDescent="0.2">
      <c r="A1063" s="173"/>
      <c r="B1063" s="174"/>
      <c r="C1063" s="175"/>
      <c r="D1063" s="176"/>
      <c r="E1063" s="176"/>
      <c r="F1063" s="176"/>
      <c r="G1063" s="176"/>
      <c r="H1063" s="250"/>
      <c r="I1063" s="184" t="s">
        <v>1523</v>
      </c>
      <c r="J1063" s="207" t="s">
        <v>576</v>
      </c>
      <c r="K1063" s="355">
        <f>K1066*25%</f>
        <v>23075</v>
      </c>
      <c r="L1063" s="197"/>
      <c r="M1063" s="181"/>
    </row>
    <row r="1064" spans="1:14" x14ac:dyDescent="0.2">
      <c r="A1064" s="173"/>
      <c r="B1064" s="174"/>
      <c r="C1064" s="175"/>
      <c r="D1064" s="176"/>
      <c r="E1064" s="176"/>
      <c r="F1064" s="176"/>
      <c r="G1064" s="176"/>
      <c r="H1064" s="250"/>
      <c r="I1064" s="184" t="s">
        <v>1524</v>
      </c>
      <c r="J1064" s="207" t="s">
        <v>683</v>
      </c>
      <c r="K1064" s="355">
        <f>K1066*10%</f>
        <v>9230</v>
      </c>
      <c r="L1064" s="197"/>
      <c r="M1064" s="181"/>
    </row>
    <row r="1065" spans="1:14" x14ac:dyDescent="0.2">
      <c r="A1065" s="173"/>
      <c r="B1065" s="174"/>
      <c r="C1065" s="175"/>
      <c r="D1065" s="176"/>
      <c r="E1065" s="176"/>
      <c r="F1065" s="176"/>
      <c r="G1065" s="176"/>
      <c r="H1065" s="250"/>
      <c r="I1065" s="184" t="s">
        <v>764</v>
      </c>
      <c r="J1065" s="207" t="s">
        <v>683</v>
      </c>
      <c r="K1065" s="355">
        <f>K1066*5%</f>
        <v>4615</v>
      </c>
      <c r="L1065" s="197"/>
      <c r="M1065" s="181"/>
    </row>
    <row r="1066" spans="1:14" x14ac:dyDescent="0.2">
      <c r="A1066" s="185"/>
      <c r="B1066" s="186"/>
      <c r="C1066" s="187"/>
      <c r="D1066" s="188"/>
      <c r="E1066" s="188"/>
      <c r="F1066" s="188"/>
      <c r="G1066" s="188"/>
      <c r="H1066" s="251"/>
      <c r="I1066" s="202"/>
      <c r="J1066" s="203"/>
      <c r="K1066" s="366">
        <v>92300</v>
      </c>
      <c r="L1066" s="205"/>
      <c r="M1066" s="193"/>
    </row>
    <row r="1067" spans="1:14" ht="25.5" customHeight="1" x14ac:dyDescent="0.2">
      <c r="A1067" s="163">
        <v>274</v>
      </c>
      <c r="B1067" s="164" t="s">
        <v>1525</v>
      </c>
      <c r="C1067" s="165"/>
      <c r="D1067" s="166" t="s">
        <v>163</v>
      </c>
      <c r="E1067" s="166"/>
      <c r="F1067" s="166"/>
      <c r="G1067" s="166"/>
      <c r="H1067" s="166"/>
      <c r="I1067" s="167" t="s">
        <v>1526</v>
      </c>
      <c r="J1067" s="249" t="s">
        <v>1415</v>
      </c>
      <c r="K1067" s="363">
        <f>K1074*70%</f>
        <v>64609.999999999993</v>
      </c>
      <c r="L1067" s="195" t="s">
        <v>166</v>
      </c>
      <c r="M1067" s="171" t="s">
        <v>1527</v>
      </c>
    </row>
    <row r="1068" spans="1:14" x14ac:dyDescent="0.2">
      <c r="A1068" s="173"/>
      <c r="B1068" s="174"/>
      <c r="C1068" s="175"/>
      <c r="D1068" s="176"/>
      <c r="E1068" s="176"/>
      <c r="F1068" s="176"/>
      <c r="G1068" s="176"/>
      <c r="H1068" s="176"/>
      <c r="I1068" s="177" t="s">
        <v>763</v>
      </c>
      <c r="J1068" s="168" t="s">
        <v>683</v>
      </c>
      <c r="K1068" s="355">
        <f>K1074*5%</f>
        <v>4615</v>
      </c>
      <c r="L1068" s="197"/>
      <c r="M1068" s="181"/>
    </row>
    <row r="1069" spans="1:14" x14ac:dyDescent="0.2">
      <c r="A1069" s="173"/>
      <c r="B1069" s="174"/>
      <c r="C1069" s="175"/>
      <c r="D1069" s="176"/>
      <c r="E1069" s="176"/>
      <c r="F1069" s="176"/>
      <c r="G1069" s="176"/>
      <c r="H1069" s="176"/>
      <c r="I1069" s="177" t="s">
        <v>1528</v>
      </c>
      <c r="J1069" s="226" t="s">
        <v>683</v>
      </c>
      <c r="K1069" s="355">
        <f>K1074*5%</f>
        <v>4615</v>
      </c>
      <c r="L1069" s="197"/>
      <c r="M1069" s="181"/>
    </row>
    <row r="1070" spans="1:14" x14ac:dyDescent="0.2">
      <c r="A1070" s="173"/>
      <c r="B1070" s="174"/>
      <c r="C1070" s="175"/>
      <c r="D1070" s="176"/>
      <c r="E1070" s="176"/>
      <c r="F1070" s="176"/>
      <c r="G1070" s="176"/>
      <c r="H1070" s="176"/>
      <c r="I1070" s="184" t="s">
        <v>1529</v>
      </c>
      <c r="J1070" s="226" t="s">
        <v>683</v>
      </c>
      <c r="K1070" s="355">
        <f>K1074*5%</f>
        <v>4615</v>
      </c>
      <c r="L1070" s="197"/>
      <c r="M1070" s="181"/>
    </row>
    <row r="1071" spans="1:14" x14ac:dyDescent="0.2">
      <c r="A1071" s="173"/>
      <c r="B1071" s="174"/>
      <c r="C1071" s="175"/>
      <c r="D1071" s="176"/>
      <c r="E1071" s="176"/>
      <c r="F1071" s="176"/>
      <c r="G1071" s="176"/>
      <c r="H1071" s="176"/>
      <c r="I1071" s="184" t="s">
        <v>1517</v>
      </c>
      <c r="J1071" s="207" t="s">
        <v>683</v>
      </c>
      <c r="K1071" s="355">
        <f>K1074*5%</f>
        <v>4615</v>
      </c>
      <c r="L1071" s="197"/>
      <c r="M1071" s="181"/>
    </row>
    <row r="1072" spans="1:14" x14ac:dyDescent="0.2">
      <c r="A1072" s="173"/>
      <c r="B1072" s="174"/>
      <c r="C1072" s="175"/>
      <c r="D1072" s="176"/>
      <c r="E1072" s="176"/>
      <c r="F1072" s="176"/>
      <c r="G1072" s="176"/>
      <c r="H1072" s="176"/>
      <c r="I1072" s="184" t="s">
        <v>1519</v>
      </c>
      <c r="J1072" s="207" t="s">
        <v>683</v>
      </c>
      <c r="K1072" s="355">
        <f>K1074*5%</f>
        <v>4615</v>
      </c>
      <c r="L1072" s="197"/>
      <c r="M1072" s="181"/>
    </row>
    <row r="1073" spans="1:13" x14ac:dyDescent="0.2">
      <c r="A1073" s="173"/>
      <c r="B1073" s="174"/>
      <c r="C1073" s="175"/>
      <c r="D1073" s="176"/>
      <c r="E1073" s="176"/>
      <c r="F1073" s="176"/>
      <c r="G1073" s="176"/>
      <c r="H1073" s="176"/>
      <c r="I1073" s="167" t="s">
        <v>1435</v>
      </c>
      <c r="J1073" s="207" t="s">
        <v>1434</v>
      </c>
      <c r="K1073" s="355">
        <f>K1074*5%</f>
        <v>4615</v>
      </c>
      <c r="L1073" s="197"/>
      <c r="M1073" s="181"/>
    </row>
    <row r="1074" spans="1:13" x14ac:dyDescent="0.2">
      <c r="A1074" s="185"/>
      <c r="B1074" s="186"/>
      <c r="C1074" s="187"/>
      <c r="D1074" s="188"/>
      <c r="E1074" s="188"/>
      <c r="F1074" s="188"/>
      <c r="G1074" s="188"/>
      <c r="H1074" s="188"/>
      <c r="I1074" s="202"/>
      <c r="J1074" s="215"/>
      <c r="K1074" s="356">
        <v>92300</v>
      </c>
      <c r="L1074" s="205"/>
      <c r="M1074" s="193"/>
    </row>
    <row r="1075" spans="1:13" ht="24.75" customHeight="1" x14ac:dyDescent="0.2">
      <c r="A1075" s="163">
        <v>275</v>
      </c>
      <c r="B1075" s="164" t="s">
        <v>1530</v>
      </c>
      <c r="C1075" s="165"/>
      <c r="D1075" s="166" t="s">
        <v>163</v>
      </c>
      <c r="E1075" s="166"/>
      <c r="F1075" s="166"/>
      <c r="G1075" s="166"/>
      <c r="H1075" s="166"/>
      <c r="I1075" s="167" t="s">
        <v>1531</v>
      </c>
      <c r="J1075" s="168" t="s">
        <v>1415</v>
      </c>
      <c r="K1075" s="399">
        <f>K1082*70%</f>
        <v>33600</v>
      </c>
      <c r="L1075" s="195" t="s">
        <v>166</v>
      </c>
      <c r="M1075" s="171" t="s">
        <v>1532</v>
      </c>
    </row>
    <row r="1076" spans="1:13" x14ac:dyDescent="0.2">
      <c r="A1076" s="173"/>
      <c r="B1076" s="174"/>
      <c r="C1076" s="175"/>
      <c r="D1076" s="176"/>
      <c r="E1076" s="176"/>
      <c r="F1076" s="176"/>
      <c r="G1076" s="176"/>
      <c r="H1076" s="176"/>
      <c r="I1076" s="177" t="s">
        <v>763</v>
      </c>
      <c r="J1076" s="226" t="s">
        <v>683</v>
      </c>
      <c r="K1076" s="355">
        <f>K1082*5%</f>
        <v>2400</v>
      </c>
      <c r="L1076" s="197"/>
      <c r="M1076" s="181"/>
    </row>
    <row r="1077" spans="1:13" x14ac:dyDescent="0.2">
      <c r="A1077" s="173"/>
      <c r="B1077" s="174"/>
      <c r="C1077" s="175"/>
      <c r="D1077" s="176"/>
      <c r="E1077" s="176"/>
      <c r="F1077" s="176"/>
      <c r="G1077" s="176"/>
      <c r="H1077" s="176"/>
      <c r="I1077" s="177" t="s">
        <v>1533</v>
      </c>
      <c r="J1077" s="226" t="s">
        <v>275</v>
      </c>
      <c r="K1077" s="368">
        <f>K1082*5%</f>
        <v>2400</v>
      </c>
      <c r="L1077" s="197"/>
      <c r="M1077" s="181"/>
    </row>
    <row r="1078" spans="1:13" x14ac:dyDescent="0.2">
      <c r="A1078" s="173"/>
      <c r="B1078" s="174"/>
      <c r="C1078" s="175"/>
      <c r="D1078" s="176"/>
      <c r="E1078" s="176"/>
      <c r="F1078" s="176"/>
      <c r="G1078" s="176"/>
      <c r="H1078" s="176"/>
      <c r="I1078" s="177" t="s">
        <v>765</v>
      </c>
      <c r="J1078" s="226" t="s">
        <v>683</v>
      </c>
      <c r="K1078" s="368">
        <f>K1082*5%</f>
        <v>2400</v>
      </c>
      <c r="L1078" s="197"/>
      <c r="M1078" s="181"/>
    </row>
    <row r="1079" spans="1:13" x14ac:dyDescent="0.2">
      <c r="A1079" s="173"/>
      <c r="B1079" s="174"/>
      <c r="C1079" s="175"/>
      <c r="D1079" s="176"/>
      <c r="E1079" s="176"/>
      <c r="F1079" s="176"/>
      <c r="G1079" s="176"/>
      <c r="H1079" s="176"/>
      <c r="I1079" s="177" t="s">
        <v>1534</v>
      </c>
      <c r="J1079" s="226" t="s">
        <v>683</v>
      </c>
      <c r="K1079" s="363">
        <f>K1082*5%</f>
        <v>2400</v>
      </c>
      <c r="L1079" s="197"/>
      <c r="M1079" s="181"/>
    </row>
    <row r="1080" spans="1:13" x14ac:dyDescent="0.2">
      <c r="A1080" s="173"/>
      <c r="B1080" s="174"/>
      <c r="C1080" s="175"/>
      <c r="D1080" s="176"/>
      <c r="E1080" s="176"/>
      <c r="F1080" s="176"/>
      <c r="G1080" s="176"/>
      <c r="H1080" s="176"/>
      <c r="I1080" s="177" t="s">
        <v>1529</v>
      </c>
      <c r="J1080" s="226" t="s">
        <v>683</v>
      </c>
      <c r="K1080" s="355">
        <f>K1082*5%</f>
        <v>2400</v>
      </c>
      <c r="L1080" s="197"/>
      <c r="M1080" s="181"/>
    </row>
    <row r="1081" spans="1:13" x14ac:dyDescent="0.2">
      <c r="A1081" s="173"/>
      <c r="B1081" s="174"/>
      <c r="C1081" s="175"/>
      <c r="D1081" s="176"/>
      <c r="E1081" s="176"/>
      <c r="F1081" s="176"/>
      <c r="G1081" s="176"/>
      <c r="H1081" s="176"/>
      <c r="I1081" s="177" t="s">
        <v>1535</v>
      </c>
      <c r="J1081" s="207" t="s">
        <v>683</v>
      </c>
      <c r="K1081" s="355">
        <f>K1082*5%</f>
        <v>2400</v>
      </c>
      <c r="L1081" s="197"/>
      <c r="M1081" s="181"/>
    </row>
    <row r="1082" spans="1:13" x14ac:dyDescent="0.2">
      <c r="A1082" s="185"/>
      <c r="B1082" s="186"/>
      <c r="C1082" s="187"/>
      <c r="D1082" s="188"/>
      <c r="E1082" s="188"/>
      <c r="F1082" s="188"/>
      <c r="G1082" s="188"/>
      <c r="H1082" s="188"/>
      <c r="I1082" s="202"/>
      <c r="J1082" s="203"/>
      <c r="K1082" s="356">
        <v>48000</v>
      </c>
      <c r="L1082" s="205"/>
      <c r="M1082" s="193"/>
    </row>
    <row r="1083" spans="1:13" ht="21" customHeight="1" x14ac:dyDescent="0.2">
      <c r="A1083" s="163">
        <v>276</v>
      </c>
      <c r="B1083" s="164" t="s">
        <v>1536</v>
      </c>
      <c r="C1083" s="165"/>
      <c r="D1083" s="166" t="s">
        <v>163</v>
      </c>
      <c r="E1083" s="166"/>
      <c r="F1083" s="166"/>
      <c r="G1083" s="166"/>
      <c r="H1083" s="166" t="s">
        <v>137</v>
      </c>
      <c r="I1083" s="167" t="s">
        <v>1537</v>
      </c>
      <c r="J1083" s="249" t="s">
        <v>1415</v>
      </c>
      <c r="K1083" s="399">
        <f>K1086*50%</f>
        <v>70642.5</v>
      </c>
      <c r="L1083" s="195" t="s">
        <v>166</v>
      </c>
      <c r="M1083" s="171" t="s">
        <v>1538</v>
      </c>
    </row>
    <row r="1084" spans="1:13" x14ac:dyDescent="0.2">
      <c r="A1084" s="173"/>
      <c r="B1084" s="174"/>
      <c r="C1084" s="175"/>
      <c r="D1084" s="176"/>
      <c r="E1084" s="176"/>
      <c r="F1084" s="176"/>
      <c r="G1084" s="176"/>
      <c r="H1084" s="176"/>
      <c r="I1084" s="177" t="s">
        <v>1539</v>
      </c>
      <c r="J1084" s="428" t="s">
        <v>683</v>
      </c>
      <c r="K1084" s="198">
        <f>K1086*40%</f>
        <v>56514</v>
      </c>
      <c r="L1084" s="197"/>
      <c r="M1084" s="181"/>
    </row>
    <row r="1085" spans="1:13" x14ac:dyDescent="0.2">
      <c r="A1085" s="173"/>
      <c r="B1085" s="174"/>
      <c r="C1085" s="175"/>
      <c r="D1085" s="176"/>
      <c r="E1085" s="176"/>
      <c r="F1085" s="176"/>
      <c r="G1085" s="176"/>
      <c r="H1085" s="176"/>
      <c r="I1085" s="184" t="s">
        <v>1540</v>
      </c>
      <c r="J1085" s="428" t="s">
        <v>683</v>
      </c>
      <c r="K1085" s="200">
        <f>K1086*10%</f>
        <v>14128.5</v>
      </c>
      <c r="L1085" s="197"/>
      <c r="M1085" s="181"/>
    </row>
    <row r="1086" spans="1:13" x14ac:dyDescent="0.2">
      <c r="A1086" s="185"/>
      <c r="B1086" s="186"/>
      <c r="C1086" s="187"/>
      <c r="D1086" s="188"/>
      <c r="E1086" s="188"/>
      <c r="F1086" s="188"/>
      <c r="G1086" s="188"/>
      <c r="H1086" s="188"/>
      <c r="I1086" s="189"/>
      <c r="J1086" s="429"/>
      <c r="K1086" s="430">
        <v>141285</v>
      </c>
      <c r="L1086" s="205"/>
      <c r="M1086" s="193"/>
    </row>
    <row r="1087" spans="1:13" ht="23.25" customHeight="1" x14ac:dyDescent="0.2">
      <c r="A1087" s="163">
        <v>277</v>
      </c>
      <c r="B1087" s="164" t="s">
        <v>1541</v>
      </c>
      <c r="C1087" s="165"/>
      <c r="D1087" s="166" t="s">
        <v>163</v>
      </c>
      <c r="E1087" s="166"/>
      <c r="F1087" s="166"/>
      <c r="G1087" s="166"/>
      <c r="H1087" s="166"/>
      <c r="I1087" s="217" t="s">
        <v>1542</v>
      </c>
      <c r="J1087" s="168" t="s">
        <v>683</v>
      </c>
      <c r="K1087" s="210">
        <f>320095*80%</f>
        <v>256076</v>
      </c>
      <c r="L1087" s="195" t="s">
        <v>166</v>
      </c>
      <c r="M1087" s="171" t="s">
        <v>1543</v>
      </c>
    </row>
    <row r="1088" spans="1:13" x14ac:dyDescent="0.2">
      <c r="A1088" s="173"/>
      <c r="B1088" s="174"/>
      <c r="C1088" s="175"/>
      <c r="D1088" s="176"/>
      <c r="E1088" s="176"/>
      <c r="F1088" s="176"/>
      <c r="G1088" s="176"/>
      <c r="H1088" s="176"/>
      <c r="I1088" s="184" t="s">
        <v>1500</v>
      </c>
      <c r="J1088" s="183" t="s">
        <v>683</v>
      </c>
      <c r="K1088" s="200">
        <f>320095*10%</f>
        <v>32009.5</v>
      </c>
      <c r="L1088" s="197"/>
      <c r="M1088" s="181"/>
    </row>
    <row r="1089" spans="1:13" x14ac:dyDescent="0.2">
      <c r="A1089" s="173"/>
      <c r="B1089" s="174"/>
      <c r="C1089" s="175"/>
      <c r="D1089" s="176"/>
      <c r="E1089" s="176"/>
      <c r="F1089" s="176"/>
      <c r="G1089" s="176"/>
      <c r="H1089" s="176"/>
      <c r="I1089" s="184" t="s">
        <v>1544</v>
      </c>
      <c r="J1089" s="183" t="s">
        <v>576</v>
      </c>
      <c r="K1089" s="201">
        <f>320095*10%</f>
        <v>32009.5</v>
      </c>
      <c r="L1089" s="197"/>
      <c r="M1089" s="181"/>
    </row>
    <row r="1090" spans="1:13" x14ac:dyDescent="0.2">
      <c r="A1090" s="185"/>
      <c r="B1090" s="186"/>
      <c r="C1090" s="187"/>
      <c r="D1090" s="188"/>
      <c r="E1090" s="188"/>
      <c r="F1090" s="188"/>
      <c r="G1090" s="188"/>
      <c r="H1090" s="188"/>
      <c r="I1090" s="189"/>
      <c r="J1090" s="190"/>
      <c r="K1090" s="211">
        <f>SUM(K1087:K1089)</f>
        <v>320095</v>
      </c>
      <c r="L1090" s="205"/>
      <c r="M1090" s="193"/>
    </row>
    <row r="1091" spans="1:13" ht="24.75" customHeight="1" x14ac:dyDescent="0.2">
      <c r="A1091" s="163">
        <v>278</v>
      </c>
      <c r="B1091" s="164" t="s">
        <v>1545</v>
      </c>
      <c r="C1091" s="165"/>
      <c r="D1091" s="166" t="s">
        <v>163</v>
      </c>
      <c r="E1091" s="166"/>
      <c r="F1091" s="166"/>
      <c r="G1091" s="166"/>
      <c r="H1091" s="166"/>
      <c r="I1091" s="217" t="s">
        <v>1546</v>
      </c>
      <c r="J1091" s="194" t="s">
        <v>1415</v>
      </c>
      <c r="K1091" s="431">
        <f>227930*50%</f>
        <v>113965</v>
      </c>
      <c r="L1091" s="171" t="s">
        <v>166</v>
      </c>
      <c r="M1091" s="171" t="s">
        <v>1547</v>
      </c>
    </row>
    <row r="1092" spans="1:13" ht="25.5" customHeight="1" x14ac:dyDescent="0.2">
      <c r="A1092" s="173"/>
      <c r="B1092" s="174"/>
      <c r="C1092" s="175"/>
      <c r="D1092" s="176"/>
      <c r="E1092" s="176"/>
      <c r="F1092" s="176"/>
      <c r="G1092" s="176"/>
      <c r="H1092" s="176"/>
      <c r="I1092" s="184" t="s">
        <v>1548</v>
      </c>
      <c r="J1092" s="178" t="s">
        <v>1415</v>
      </c>
      <c r="K1092" s="432">
        <f>227930*30%</f>
        <v>68379</v>
      </c>
      <c r="L1092" s="181"/>
      <c r="M1092" s="181"/>
    </row>
    <row r="1093" spans="1:13" ht="24" customHeight="1" x14ac:dyDescent="0.2">
      <c r="A1093" s="173"/>
      <c r="B1093" s="174"/>
      <c r="C1093" s="175"/>
      <c r="D1093" s="176"/>
      <c r="E1093" s="176"/>
      <c r="F1093" s="176"/>
      <c r="G1093" s="176"/>
      <c r="H1093" s="176"/>
      <c r="I1093" s="184" t="s">
        <v>1549</v>
      </c>
      <c r="J1093" s="178" t="s">
        <v>1550</v>
      </c>
      <c r="K1093" s="432">
        <f>227930*10%</f>
        <v>22793</v>
      </c>
      <c r="L1093" s="181"/>
      <c r="M1093" s="181"/>
    </row>
    <row r="1094" spans="1:13" x14ac:dyDescent="0.2">
      <c r="A1094" s="173"/>
      <c r="B1094" s="174"/>
      <c r="C1094" s="175"/>
      <c r="D1094" s="176"/>
      <c r="E1094" s="176"/>
      <c r="F1094" s="176"/>
      <c r="G1094" s="176"/>
      <c r="H1094" s="176"/>
      <c r="I1094" s="184" t="s">
        <v>1512</v>
      </c>
      <c r="J1094" s="178" t="s">
        <v>683</v>
      </c>
      <c r="K1094" s="432">
        <f>227930*10%</f>
        <v>22793</v>
      </c>
      <c r="L1094" s="181"/>
      <c r="M1094" s="181"/>
    </row>
    <row r="1095" spans="1:13" x14ac:dyDescent="0.2">
      <c r="A1095" s="185"/>
      <c r="B1095" s="186"/>
      <c r="C1095" s="187"/>
      <c r="D1095" s="188"/>
      <c r="E1095" s="188"/>
      <c r="F1095" s="188"/>
      <c r="G1095" s="188"/>
      <c r="H1095" s="188"/>
      <c r="I1095" s="202"/>
      <c r="J1095" s="190"/>
      <c r="K1095" s="433">
        <f>SUM(K1091:K1094)</f>
        <v>227930</v>
      </c>
      <c r="L1095" s="193"/>
      <c r="M1095" s="193"/>
    </row>
    <row r="1096" spans="1:13" ht="84" customHeight="1" x14ac:dyDescent="0.2">
      <c r="A1096" s="232">
        <v>279</v>
      </c>
      <c r="B1096" s="255" t="s">
        <v>1551</v>
      </c>
      <c r="C1096" s="256"/>
      <c r="D1096" s="258" t="s">
        <v>163</v>
      </c>
      <c r="E1096" s="258"/>
      <c r="F1096" s="258"/>
      <c r="G1096" s="258"/>
      <c r="H1096" s="259"/>
      <c r="I1096" s="189" t="s">
        <v>1552</v>
      </c>
      <c r="J1096" s="215" t="s">
        <v>683</v>
      </c>
      <c r="K1096" s="260">
        <v>76590</v>
      </c>
      <c r="L1096" s="282" t="s">
        <v>166</v>
      </c>
      <c r="M1096" s="189" t="s">
        <v>1553</v>
      </c>
    </row>
    <row r="1097" spans="1:13" ht="21.75" customHeight="1" x14ac:dyDescent="0.2">
      <c r="A1097" s="163">
        <v>280</v>
      </c>
      <c r="B1097" s="164" t="s">
        <v>1554</v>
      </c>
      <c r="C1097" s="165"/>
      <c r="D1097" s="166" t="s">
        <v>163</v>
      </c>
      <c r="E1097" s="166"/>
      <c r="F1097" s="166"/>
      <c r="G1097" s="166"/>
      <c r="H1097" s="166"/>
      <c r="I1097" s="217" t="s">
        <v>1555</v>
      </c>
      <c r="J1097" s="194" t="s">
        <v>1556</v>
      </c>
      <c r="K1097" s="431">
        <f>100000*50%</f>
        <v>50000</v>
      </c>
      <c r="L1097" s="171" t="s">
        <v>166</v>
      </c>
      <c r="M1097" s="171" t="s">
        <v>1557</v>
      </c>
    </row>
    <row r="1098" spans="1:13" x14ac:dyDescent="0.2">
      <c r="A1098" s="173"/>
      <c r="B1098" s="174"/>
      <c r="C1098" s="175"/>
      <c r="D1098" s="176"/>
      <c r="E1098" s="176"/>
      <c r="F1098" s="176"/>
      <c r="G1098" s="176"/>
      <c r="H1098" s="176"/>
      <c r="I1098" s="184" t="s">
        <v>1558</v>
      </c>
      <c r="J1098" s="178" t="s">
        <v>683</v>
      </c>
      <c r="K1098" s="432">
        <f>100000*10%</f>
        <v>10000</v>
      </c>
      <c r="L1098" s="181"/>
      <c r="M1098" s="181"/>
    </row>
    <row r="1099" spans="1:13" x14ac:dyDescent="0.2">
      <c r="A1099" s="173"/>
      <c r="B1099" s="174"/>
      <c r="C1099" s="175"/>
      <c r="D1099" s="176"/>
      <c r="E1099" s="176"/>
      <c r="F1099" s="176"/>
      <c r="G1099" s="176"/>
      <c r="H1099" s="176"/>
      <c r="I1099" s="184" t="s">
        <v>754</v>
      </c>
      <c r="J1099" s="178" t="s">
        <v>683</v>
      </c>
      <c r="K1099" s="432">
        <f>100000*10%</f>
        <v>10000</v>
      </c>
      <c r="L1099" s="181"/>
      <c r="M1099" s="181"/>
    </row>
    <row r="1100" spans="1:13" x14ac:dyDescent="0.2">
      <c r="A1100" s="173"/>
      <c r="B1100" s="174"/>
      <c r="C1100" s="175"/>
      <c r="D1100" s="176"/>
      <c r="E1100" s="176"/>
      <c r="F1100" s="176"/>
      <c r="G1100" s="176"/>
      <c r="H1100" s="176"/>
      <c r="I1100" s="184" t="s">
        <v>1559</v>
      </c>
      <c r="J1100" s="178" t="s">
        <v>683</v>
      </c>
      <c r="K1100" s="432">
        <f>100000*10%</f>
        <v>10000</v>
      </c>
      <c r="L1100" s="181"/>
      <c r="M1100" s="181"/>
    </row>
    <row r="1101" spans="1:13" x14ac:dyDescent="0.2">
      <c r="A1101" s="173"/>
      <c r="B1101" s="174"/>
      <c r="C1101" s="175"/>
      <c r="D1101" s="176"/>
      <c r="E1101" s="176"/>
      <c r="F1101" s="176"/>
      <c r="G1101" s="176"/>
      <c r="H1101" s="176"/>
      <c r="I1101" s="184" t="s">
        <v>1560</v>
      </c>
      <c r="J1101" s="178" t="s">
        <v>683</v>
      </c>
      <c r="K1101" s="432">
        <f>100000*10%</f>
        <v>10000</v>
      </c>
      <c r="L1101" s="181"/>
      <c r="M1101" s="181"/>
    </row>
    <row r="1102" spans="1:13" x14ac:dyDescent="0.2">
      <c r="A1102" s="173"/>
      <c r="B1102" s="174"/>
      <c r="C1102" s="175"/>
      <c r="D1102" s="176"/>
      <c r="E1102" s="176"/>
      <c r="F1102" s="176"/>
      <c r="G1102" s="176"/>
      <c r="H1102" s="176"/>
      <c r="I1102" s="184" t="s">
        <v>1561</v>
      </c>
      <c r="J1102" s="178" t="s">
        <v>683</v>
      </c>
      <c r="K1102" s="432">
        <f>100000*10%</f>
        <v>10000</v>
      </c>
      <c r="L1102" s="181"/>
      <c r="M1102" s="181"/>
    </row>
    <row r="1103" spans="1:13" x14ac:dyDescent="0.2">
      <c r="A1103" s="185"/>
      <c r="B1103" s="186"/>
      <c r="C1103" s="187"/>
      <c r="D1103" s="188"/>
      <c r="E1103" s="188"/>
      <c r="F1103" s="188"/>
      <c r="G1103" s="188"/>
      <c r="H1103" s="188"/>
      <c r="I1103" s="202"/>
      <c r="J1103" s="190"/>
      <c r="K1103" s="433">
        <f>SUM(K1097:K1102)</f>
        <v>100000</v>
      </c>
      <c r="L1103" s="193"/>
      <c r="M1103" s="193"/>
    </row>
    <row r="1104" spans="1:13" ht="21.75" customHeight="1" x14ac:dyDescent="0.2">
      <c r="A1104" s="163">
        <v>281</v>
      </c>
      <c r="B1104" s="164" t="s">
        <v>1562</v>
      </c>
      <c r="C1104" s="165"/>
      <c r="D1104" s="166" t="s">
        <v>163</v>
      </c>
      <c r="E1104" s="166"/>
      <c r="F1104" s="166"/>
      <c r="G1104" s="166"/>
      <c r="H1104" s="166"/>
      <c r="I1104" s="434" t="s">
        <v>1563</v>
      </c>
      <c r="J1104" s="223" t="s">
        <v>1564</v>
      </c>
      <c r="K1104" s="210">
        <f>33800*70%</f>
        <v>23660</v>
      </c>
      <c r="L1104" s="171" t="s">
        <v>166</v>
      </c>
      <c r="M1104" s="171" t="s">
        <v>1565</v>
      </c>
    </row>
    <row r="1105" spans="1:13" x14ac:dyDescent="0.2">
      <c r="A1105" s="173"/>
      <c r="B1105" s="174"/>
      <c r="C1105" s="175"/>
      <c r="D1105" s="176"/>
      <c r="E1105" s="176"/>
      <c r="F1105" s="176"/>
      <c r="G1105" s="176"/>
      <c r="H1105" s="176"/>
      <c r="I1105" s="435" t="s">
        <v>1566</v>
      </c>
      <c r="J1105" s="207" t="s">
        <v>683</v>
      </c>
      <c r="K1105" s="214">
        <f t="shared" ref="K1105:K1110" si="22">33800*5%</f>
        <v>1690</v>
      </c>
      <c r="L1105" s="181"/>
      <c r="M1105" s="181"/>
    </row>
    <row r="1106" spans="1:13" x14ac:dyDescent="0.2">
      <c r="A1106" s="173"/>
      <c r="B1106" s="174"/>
      <c r="C1106" s="175"/>
      <c r="D1106" s="176"/>
      <c r="E1106" s="176"/>
      <c r="F1106" s="176"/>
      <c r="G1106" s="176"/>
      <c r="H1106" s="176"/>
      <c r="I1106" s="435" t="s">
        <v>765</v>
      </c>
      <c r="J1106" s="207" t="s">
        <v>683</v>
      </c>
      <c r="K1106" s="214">
        <f t="shared" si="22"/>
        <v>1690</v>
      </c>
      <c r="L1106" s="181"/>
      <c r="M1106" s="181"/>
    </row>
    <row r="1107" spans="1:13" x14ac:dyDescent="0.2">
      <c r="A1107" s="173"/>
      <c r="B1107" s="174"/>
      <c r="C1107" s="175"/>
      <c r="D1107" s="176"/>
      <c r="E1107" s="176"/>
      <c r="F1107" s="176"/>
      <c r="G1107" s="176"/>
      <c r="H1107" s="176"/>
      <c r="I1107" s="435" t="s">
        <v>1567</v>
      </c>
      <c r="J1107" s="207" t="s">
        <v>683</v>
      </c>
      <c r="K1107" s="214">
        <f t="shared" si="22"/>
        <v>1690</v>
      </c>
      <c r="L1107" s="181"/>
      <c r="M1107" s="181"/>
    </row>
    <row r="1108" spans="1:13" x14ac:dyDescent="0.2">
      <c r="A1108" s="173"/>
      <c r="B1108" s="174"/>
      <c r="C1108" s="175"/>
      <c r="D1108" s="176"/>
      <c r="E1108" s="176"/>
      <c r="F1108" s="176"/>
      <c r="G1108" s="176"/>
      <c r="H1108" s="176"/>
      <c r="I1108" s="435" t="s">
        <v>1568</v>
      </c>
      <c r="J1108" s="207" t="s">
        <v>275</v>
      </c>
      <c r="K1108" s="214">
        <f t="shared" si="22"/>
        <v>1690</v>
      </c>
      <c r="L1108" s="181"/>
      <c r="M1108" s="181"/>
    </row>
    <row r="1109" spans="1:13" x14ac:dyDescent="0.2">
      <c r="A1109" s="173"/>
      <c r="B1109" s="174"/>
      <c r="C1109" s="175"/>
      <c r="D1109" s="176"/>
      <c r="E1109" s="176"/>
      <c r="F1109" s="176"/>
      <c r="G1109" s="176"/>
      <c r="H1109" s="176"/>
      <c r="I1109" s="435" t="s">
        <v>1569</v>
      </c>
      <c r="J1109" s="207" t="s">
        <v>683</v>
      </c>
      <c r="K1109" s="214">
        <f t="shared" si="22"/>
        <v>1690</v>
      </c>
      <c r="L1109" s="181"/>
      <c r="M1109" s="181"/>
    </row>
    <row r="1110" spans="1:13" x14ac:dyDescent="0.2">
      <c r="A1110" s="173"/>
      <c r="B1110" s="174"/>
      <c r="C1110" s="175"/>
      <c r="D1110" s="176"/>
      <c r="E1110" s="176"/>
      <c r="F1110" s="176"/>
      <c r="G1110" s="176"/>
      <c r="H1110" s="176"/>
      <c r="I1110" s="435" t="s">
        <v>1570</v>
      </c>
      <c r="J1110" s="207" t="s">
        <v>683</v>
      </c>
      <c r="K1110" s="214">
        <f t="shared" si="22"/>
        <v>1690</v>
      </c>
      <c r="L1110" s="181"/>
      <c r="M1110" s="181"/>
    </row>
    <row r="1111" spans="1:13" x14ac:dyDescent="0.2">
      <c r="A1111" s="185"/>
      <c r="B1111" s="186"/>
      <c r="C1111" s="187"/>
      <c r="D1111" s="188"/>
      <c r="E1111" s="188"/>
      <c r="F1111" s="188"/>
      <c r="G1111" s="188"/>
      <c r="H1111" s="188"/>
      <c r="I1111" s="436"/>
      <c r="J1111" s="203"/>
      <c r="K1111" s="204">
        <f>SUM(K1104:K1110)</f>
        <v>33800</v>
      </c>
      <c r="L1111" s="193"/>
      <c r="M1111" s="193"/>
    </row>
    <row r="1112" spans="1:13" ht="24.75" customHeight="1" x14ac:dyDescent="0.2">
      <c r="A1112" s="163">
        <v>282</v>
      </c>
      <c r="B1112" s="164" t="s">
        <v>1571</v>
      </c>
      <c r="C1112" s="165"/>
      <c r="D1112" s="166" t="s">
        <v>163</v>
      </c>
      <c r="E1112" s="166"/>
      <c r="F1112" s="166"/>
      <c r="G1112" s="166"/>
      <c r="H1112" s="166"/>
      <c r="I1112" s="217" t="s">
        <v>1563</v>
      </c>
      <c r="J1112" s="194" t="s">
        <v>1572</v>
      </c>
      <c r="K1112" s="431">
        <f>154000*70%</f>
        <v>107800</v>
      </c>
      <c r="L1112" s="171" t="s">
        <v>166</v>
      </c>
      <c r="M1112" s="171" t="s">
        <v>1573</v>
      </c>
    </row>
    <row r="1113" spans="1:13" x14ac:dyDescent="0.2">
      <c r="A1113" s="173"/>
      <c r="B1113" s="174"/>
      <c r="C1113" s="175"/>
      <c r="D1113" s="176"/>
      <c r="E1113" s="176"/>
      <c r="F1113" s="176"/>
      <c r="G1113" s="176"/>
      <c r="H1113" s="176"/>
      <c r="I1113" s="184" t="s">
        <v>1574</v>
      </c>
      <c r="J1113" s="178" t="s">
        <v>1575</v>
      </c>
      <c r="K1113" s="432">
        <f t="shared" ref="K1113:K1118" si="23">154000*5%</f>
        <v>7700</v>
      </c>
      <c r="L1113" s="181"/>
      <c r="M1113" s="181"/>
    </row>
    <row r="1114" spans="1:13" x14ac:dyDescent="0.2">
      <c r="A1114" s="173"/>
      <c r="B1114" s="174"/>
      <c r="C1114" s="175"/>
      <c r="D1114" s="176"/>
      <c r="E1114" s="176"/>
      <c r="F1114" s="176"/>
      <c r="G1114" s="176"/>
      <c r="H1114" s="176"/>
      <c r="I1114" s="184" t="s">
        <v>765</v>
      </c>
      <c r="J1114" s="178" t="s">
        <v>683</v>
      </c>
      <c r="K1114" s="432">
        <f t="shared" si="23"/>
        <v>7700</v>
      </c>
      <c r="L1114" s="181"/>
      <c r="M1114" s="181"/>
    </row>
    <row r="1115" spans="1:13" x14ac:dyDescent="0.2">
      <c r="A1115" s="173"/>
      <c r="B1115" s="174"/>
      <c r="C1115" s="175"/>
      <c r="D1115" s="176"/>
      <c r="E1115" s="176"/>
      <c r="F1115" s="176"/>
      <c r="G1115" s="176"/>
      <c r="H1115" s="176"/>
      <c r="I1115" s="184" t="s">
        <v>1576</v>
      </c>
      <c r="J1115" s="178" t="s">
        <v>683</v>
      </c>
      <c r="K1115" s="432">
        <f t="shared" si="23"/>
        <v>7700</v>
      </c>
      <c r="L1115" s="181"/>
      <c r="M1115" s="181"/>
    </row>
    <row r="1116" spans="1:13" x14ac:dyDescent="0.2">
      <c r="A1116" s="173"/>
      <c r="B1116" s="174"/>
      <c r="C1116" s="175"/>
      <c r="D1116" s="176"/>
      <c r="E1116" s="176"/>
      <c r="F1116" s="176"/>
      <c r="G1116" s="176"/>
      <c r="H1116" s="176"/>
      <c r="I1116" s="184" t="s">
        <v>1567</v>
      </c>
      <c r="J1116" s="178" t="s">
        <v>683</v>
      </c>
      <c r="K1116" s="432">
        <f t="shared" si="23"/>
        <v>7700</v>
      </c>
      <c r="L1116" s="181"/>
      <c r="M1116" s="181"/>
    </row>
    <row r="1117" spans="1:13" x14ac:dyDescent="0.2">
      <c r="A1117" s="173"/>
      <c r="B1117" s="174"/>
      <c r="C1117" s="175"/>
      <c r="D1117" s="176"/>
      <c r="E1117" s="176"/>
      <c r="F1117" s="176"/>
      <c r="G1117" s="176"/>
      <c r="H1117" s="176"/>
      <c r="I1117" s="184" t="s">
        <v>1568</v>
      </c>
      <c r="J1117" s="178" t="s">
        <v>275</v>
      </c>
      <c r="K1117" s="432">
        <f t="shared" si="23"/>
        <v>7700</v>
      </c>
      <c r="L1117" s="181"/>
      <c r="M1117" s="181"/>
    </row>
    <row r="1118" spans="1:13" x14ac:dyDescent="0.2">
      <c r="A1118" s="173"/>
      <c r="B1118" s="174"/>
      <c r="C1118" s="175"/>
      <c r="D1118" s="176"/>
      <c r="E1118" s="176"/>
      <c r="F1118" s="176"/>
      <c r="G1118" s="176"/>
      <c r="H1118" s="176"/>
      <c r="I1118" s="184" t="s">
        <v>1569</v>
      </c>
      <c r="J1118" s="178" t="s">
        <v>683</v>
      </c>
      <c r="K1118" s="432">
        <f t="shared" si="23"/>
        <v>7700</v>
      </c>
      <c r="L1118" s="181"/>
      <c r="M1118" s="181"/>
    </row>
    <row r="1119" spans="1:13" x14ac:dyDescent="0.2">
      <c r="A1119" s="185"/>
      <c r="B1119" s="186"/>
      <c r="C1119" s="187"/>
      <c r="D1119" s="188"/>
      <c r="E1119" s="188"/>
      <c r="F1119" s="188"/>
      <c r="G1119" s="188"/>
      <c r="H1119" s="188"/>
      <c r="I1119" s="202"/>
      <c r="J1119" s="190"/>
      <c r="K1119" s="433">
        <f>SUM(K1112:K1118)</f>
        <v>154000</v>
      </c>
      <c r="L1119" s="193"/>
      <c r="M1119" s="193"/>
    </row>
    <row r="1120" spans="1:13" ht="24" customHeight="1" x14ac:dyDescent="0.2">
      <c r="A1120" s="163">
        <v>283</v>
      </c>
      <c r="B1120" s="164" t="s">
        <v>1577</v>
      </c>
      <c r="C1120" s="165"/>
      <c r="D1120" s="166" t="s">
        <v>163</v>
      </c>
      <c r="E1120" s="166"/>
      <c r="F1120" s="166"/>
      <c r="G1120" s="166"/>
      <c r="H1120" s="166"/>
      <c r="I1120" s="276" t="s">
        <v>1578</v>
      </c>
      <c r="J1120" s="249" t="s">
        <v>1572</v>
      </c>
      <c r="K1120" s="210">
        <f>154000*65%</f>
        <v>100100</v>
      </c>
      <c r="L1120" s="171" t="s">
        <v>166</v>
      </c>
      <c r="M1120" s="171" t="s">
        <v>1579</v>
      </c>
    </row>
    <row r="1121" spans="1:13" x14ac:dyDescent="0.2">
      <c r="A1121" s="173"/>
      <c r="B1121" s="174"/>
      <c r="C1121" s="175"/>
      <c r="D1121" s="176"/>
      <c r="E1121" s="176"/>
      <c r="F1121" s="176"/>
      <c r="G1121" s="176"/>
      <c r="H1121" s="176"/>
      <c r="I1121" s="184" t="s">
        <v>1512</v>
      </c>
      <c r="J1121" s="207" t="s">
        <v>1116</v>
      </c>
      <c r="K1121" s="214">
        <f>154000*10%</f>
        <v>15400</v>
      </c>
      <c r="L1121" s="181"/>
      <c r="M1121" s="181"/>
    </row>
    <row r="1122" spans="1:13" x14ac:dyDescent="0.2">
      <c r="A1122" s="173"/>
      <c r="B1122" s="174"/>
      <c r="C1122" s="175"/>
      <c r="D1122" s="176"/>
      <c r="E1122" s="176"/>
      <c r="F1122" s="176"/>
      <c r="G1122" s="176"/>
      <c r="H1122" s="176"/>
      <c r="I1122" s="184" t="s">
        <v>765</v>
      </c>
      <c r="J1122" s="207" t="s">
        <v>683</v>
      </c>
      <c r="K1122" s="214">
        <f>154000*5%</f>
        <v>7700</v>
      </c>
      <c r="L1122" s="181"/>
      <c r="M1122" s="181"/>
    </row>
    <row r="1123" spans="1:13" x14ac:dyDescent="0.2">
      <c r="A1123" s="173"/>
      <c r="B1123" s="174"/>
      <c r="C1123" s="175"/>
      <c r="D1123" s="176"/>
      <c r="E1123" s="176"/>
      <c r="F1123" s="176"/>
      <c r="G1123" s="176"/>
      <c r="H1123" s="176"/>
      <c r="I1123" s="184" t="s">
        <v>1576</v>
      </c>
      <c r="J1123" s="207" t="s">
        <v>683</v>
      </c>
      <c r="K1123" s="214">
        <f>154000*5%</f>
        <v>7700</v>
      </c>
      <c r="L1123" s="181"/>
      <c r="M1123" s="181"/>
    </row>
    <row r="1124" spans="1:13" x14ac:dyDescent="0.2">
      <c r="A1124" s="173"/>
      <c r="B1124" s="174"/>
      <c r="C1124" s="175"/>
      <c r="D1124" s="176"/>
      <c r="E1124" s="176"/>
      <c r="F1124" s="176"/>
      <c r="G1124" s="176"/>
      <c r="H1124" s="176"/>
      <c r="I1124" s="184" t="s">
        <v>1567</v>
      </c>
      <c r="J1124" s="207" t="s">
        <v>683</v>
      </c>
      <c r="K1124" s="214">
        <f>154000*5%</f>
        <v>7700</v>
      </c>
      <c r="L1124" s="181"/>
      <c r="M1124" s="181"/>
    </row>
    <row r="1125" spans="1:13" x14ac:dyDescent="0.2">
      <c r="A1125" s="173"/>
      <c r="B1125" s="174"/>
      <c r="C1125" s="175"/>
      <c r="D1125" s="176"/>
      <c r="E1125" s="176"/>
      <c r="F1125" s="176"/>
      <c r="G1125" s="176"/>
      <c r="H1125" s="176"/>
      <c r="I1125" s="184" t="s">
        <v>1568</v>
      </c>
      <c r="J1125" s="207" t="s">
        <v>275</v>
      </c>
      <c r="K1125" s="214">
        <f>154000*5%</f>
        <v>7700</v>
      </c>
      <c r="L1125" s="181"/>
      <c r="M1125" s="181"/>
    </row>
    <row r="1126" spans="1:13" x14ac:dyDescent="0.2">
      <c r="A1126" s="173"/>
      <c r="B1126" s="174"/>
      <c r="C1126" s="175"/>
      <c r="D1126" s="176"/>
      <c r="E1126" s="176"/>
      <c r="F1126" s="176"/>
      <c r="G1126" s="176"/>
      <c r="H1126" s="176"/>
      <c r="I1126" s="184" t="s">
        <v>1574</v>
      </c>
      <c r="J1126" s="207" t="s">
        <v>641</v>
      </c>
      <c r="K1126" s="214">
        <f>154000*5%</f>
        <v>7700</v>
      </c>
      <c r="L1126" s="181"/>
      <c r="M1126" s="181"/>
    </row>
    <row r="1127" spans="1:13" x14ac:dyDescent="0.2">
      <c r="A1127" s="185"/>
      <c r="B1127" s="186"/>
      <c r="C1127" s="187"/>
      <c r="D1127" s="188"/>
      <c r="E1127" s="188"/>
      <c r="F1127" s="188"/>
      <c r="G1127" s="188"/>
      <c r="H1127" s="188"/>
      <c r="I1127" s="202"/>
      <c r="J1127" s="203"/>
      <c r="K1127" s="198">
        <f>SUM(K1120:K1126)</f>
        <v>154000</v>
      </c>
      <c r="L1127" s="193"/>
      <c r="M1127" s="193"/>
    </row>
    <row r="1128" spans="1:13" ht="23.25" customHeight="1" x14ac:dyDescent="0.2">
      <c r="A1128" s="163">
        <v>284</v>
      </c>
      <c r="B1128" s="164" t="s">
        <v>1580</v>
      </c>
      <c r="C1128" s="165"/>
      <c r="D1128" s="166" t="s">
        <v>163</v>
      </c>
      <c r="E1128" s="166"/>
      <c r="F1128" s="166"/>
      <c r="G1128" s="166"/>
      <c r="H1128" s="166"/>
      <c r="I1128" s="217" t="s">
        <v>1581</v>
      </c>
      <c r="J1128" s="277" t="s">
        <v>1572</v>
      </c>
      <c r="K1128" s="268">
        <f>80850*60%</f>
        <v>48510</v>
      </c>
      <c r="L1128" s="171" t="s">
        <v>166</v>
      </c>
      <c r="M1128" s="171" t="s">
        <v>1582</v>
      </c>
    </row>
    <row r="1129" spans="1:13" x14ac:dyDescent="0.2">
      <c r="A1129" s="173"/>
      <c r="B1129" s="174"/>
      <c r="C1129" s="175"/>
      <c r="D1129" s="176"/>
      <c r="E1129" s="176"/>
      <c r="F1129" s="176"/>
      <c r="G1129" s="176"/>
      <c r="H1129" s="176"/>
      <c r="I1129" s="184" t="s">
        <v>1583</v>
      </c>
      <c r="J1129" s="272" t="s">
        <v>1116</v>
      </c>
      <c r="K1129" s="214">
        <f>80850*20%</f>
        <v>16170</v>
      </c>
      <c r="L1129" s="181"/>
      <c r="M1129" s="181"/>
    </row>
    <row r="1130" spans="1:13" x14ac:dyDescent="0.2">
      <c r="A1130" s="173"/>
      <c r="B1130" s="174"/>
      <c r="C1130" s="175"/>
      <c r="D1130" s="176"/>
      <c r="E1130" s="176"/>
      <c r="F1130" s="176"/>
      <c r="G1130" s="176"/>
      <c r="H1130" s="176"/>
      <c r="I1130" s="184" t="s">
        <v>1584</v>
      </c>
      <c r="J1130" s="272" t="s">
        <v>683</v>
      </c>
      <c r="K1130" s="214">
        <f>80850*10%</f>
        <v>8085</v>
      </c>
      <c r="L1130" s="181"/>
      <c r="M1130" s="181"/>
    </row>
    <row r="1131" spans="1:13" x14ac:dyDescent="0.2">
      <c r="A1131" s="173"/>
      <c r="B1131" s="174"/>
      <c r="C1131" s="175"/>
      <c r="D1131" s="176"/>
      <c r="E1131" s="176"/>
      <c r="F1131" s="176"/>
      <c r="G1131" s="176"/>
      <c r="H1131" s="176"/>
      <c r="I1131" s="184" t="s">
        <v>1585</v>
      </c>
      <c r="J1131" s="272" t="s">
        <v>683</v>
      </c>
      <c r="K1131" s="214">
        <f>80850*10%</f>
        <v>8085</v>
      </c>
      <c r="L1131" s="181"/>
      <c r="M1131" s="181"/>
    </row>
    <row r="1132" spans="1:13" x14ac:dyDescent="0.2">
      <c r="A1132" s="185"/>
      <c r="B1132" s="186"/>
      <c r="C1132" s="187"/>
      <c r="D1132" s="188"/>
      <c r="E1132" s="188"/>
      <c r="F1132" s="188"/>
      <c r="G1132" s="188"/>
      <c r="H1132" s="188"/>
      <c r="I1132" s="202"/>
      <c r="J1132" s="275"/>
      <c r="K1132" s="247">
        <f>SUM(K1128:K1131)</f>
        <v>80850</v>
      </c>
      <c r="L1132" s="193"/>
      <c r="M1132" s="193"/>
    </row>
    <row r="1133" spans="1:13" ht="23.25" customHeight="1" x14ac:dyDescent="0.2">
      <c r="A1133" s="163">
        <v>285</v>
      </c>
      <c r="B1133" s="164" t="s">
        <v>1586</v>
      </c>
      <c r="C1133" s="165"/>
      <c r="D1133" s="166" t="s">
        <v>163</v>
      </c>
      <c r="E1133" s="166"/>
      <c r="F1133" s="166"/>
      <c r="G1133" s="166"/>
      <c r="H1133" s="166"/>
      <c r="I1133" s="276" t="s">
        <v>1587</v>
      </c>
      <c r="J1133" s="249" t="s">
        <v>1415</v>
      </c>
      <c r="K1133" s="278">
        <f>154000*80%</f>
        <v>123200</v>
      </c>
      <c r="L1133" s="171" t="s">
        <v>166</v>
      </c>
      <c r="M1133" s="171" t="s">
        <v>1588</v>
      </c>
    </row>
    <row r="1134" spans="1:13" x14ac:dyDescent="0.2">
      <c r="A1134" s="173"/>
      <c r="B1134" s="174"/>
      <c r="C1134" s="175"/>
      <c r="D1134" s="176"/>
      <c r="E1134" s="176"/>
      <c r="F1134" s="176"/>
      <c r="G1134" s="176"/>
      <c r="H1134" s="176"/>
      <c r="I1134" s="184" t="s">
        <v>765</v>
      </c>
      <c r="J1134" s="207" t="s">
        <v>683</v>
      </c>
      <c r="K1134" s="214">
        <f>154000*5%</f>
        <v>7700</v>
      </c>
      <c r="L1134" s="181"/>
      <c r="M1134" s="181"/>
    </row>
    <row r="1135" spans="1:13" x14ac:dyDescent="0.2">
      <c r="A1135" s="173"/>
      <c r="B1135" s="174"/>
      <c r="C1135" s="175"/>
      <c r="D1135" s="176"/>
      <c r="E1135" s="176"/>
      <c r="F1135" s="176"/>
      <c r="G1135" s="176"/>
      <c r="H1135" s="176"/>
      <c r="I1135" s="184" t="s">
        <v>763</v>
      </c>
      <c r="J1135" s="207" t="s">
        <v>683</v>
      </c>
      <c r="K1135" s="214">
        <f>154000*5%</f>
        <v>7700</v>
      </c>
      <c r="L1135" s="181"/>
      <c r="M1135" s="181"/>
    </row>
    <row r="1136" spans="1:13" x14ac:dyDescent="0.2">
      <c r="A1136" s="173"/>
      <c r="B1136" s="174"/>
      <c r="C1136" s="175"/>
      <c r="D1136" s="176"/>
      <c r="E1136" s="176"/>
      <c r="F1136" s="176"/>
      <c r="G1136" s="176"/>
      <c r="H1136" s="176"/>
      <c r="I1136" s="184" t="s">
        <v>1589</v>
      </c>
      <c r="J1136" s="207" t="s">
        <v>275</v>
      </c>
      <c r="K1136" s="214">
        <f>154000*5%</f>
        <v>7700</v>
      </c>
      <c r="L1136" s="181"/>
      <c r="M1136" s="181"/>
    </row>
    <row r="1137" spans="1:13" x14ac:dyDescent="0.2">
      <c r="A1137" s="173"/>
      <c r="B1137" s="174"/>
      <c r="C1137" s="175"/>
      <c r="D1137" s="176"/>
      <c r="E1137" s="176"/>
      <c r="F1137" s="176"/>
      <c r="G1137" s="176"/>
      <c r="H1137" s="176"/>
      <c r="I1137" s="184" t="s">
        <v>1569</v>
      </c>
      <c r="J1137" s="207" t="s">
        <v>683</v>
      </c>
      <c r="K1137" s="214">
        <f>154000*5%</f>
        <v>7700</v>
      </c>
      <c r="L1137" s="181"/>
      <c r="M1137" s="181"/>
    </row>
    <row r="1138" spans="1:13" x14ac:dyDescent="0.2">
      <c r="A1138" s="185"/>
      <c r="B1138" s="186"/>
      <c r="C1138" s="187"/>
      <c r="D1138" s="188"/>
      <c r="E1138" s="188"/>
      <c r="F1138" s="188"/>
      <c r="G1138" s="188"/>
      <c r="H1138" s="188"/>
      <c r="I1138" s="202"/>
      <c r="J1138" s="203"/>
      <c r="K1138" s="211">
        <f>SUM(K1133:K1137)</f>
        <v>154000</v>
      </c>
      <c r="L1138" s="193"/>
      <c r="M1138" s="193"/>
    </row>
    <row r="1139" spans="1:13" ht="23.25" customHeight="1" x14ac:dyDescent="0.2">
      <c r="A1139" s="163">
        <v>286</v>
      </c>
      <c r="B1139" s="164" t="s">
        <v>1590</v>
      </c>
      <c r="C1139" s="165"/>
      <c r="D1139" s="166" t="s">
        <v>163</v>
      </c>
      <c r="E1139" s="166"/>
      <c r="F1139" s="166"/>
      <c r="G1139" s="166"/>
      <c r="H1139" s="166" t="s">
        <v>164</v>
      </c>
      <c r="I1139" s="217" t="s">
        <v>1591</v>
      </c>
      <c r="J1139" s="249" t="s">
        <v>1415</v>
      </c>
      <c r="K1139" s="210">
        <f>150000*50%</f>
        <v>75000</v>
      </c>
      <c r="L1139" s="171" t="s">
        <v>166</v>
      </c>
      <c r="M1139" s="171" t="s">
        <v>1592</v>
      </c>
    </row>
    <row r="1140" spans="1:13" x14ac:dyDescent="0.2">
      <c r="A1140" s="173"/>
      <c r="B1140" s="174"/>
      <c r="C1140" s="175"/>
      <c r="D1140" s="176"/>
      <c r="E1140" s="176"/>
      <c r="F1140" s="176"/>
      <c r="G1140" s="176"/>
      <c r="H1140" s="176"/>
      <c r="I1140" s="184" t="s">
        <v>1593</v>
      </c>
      <c r="J1140" s="207" t="s">
        <v>683</v>
      </c>
      <c r="K1140" s="214">
        <f>150000*50%</f>
        <v>75000</v>
      </c>
      <c r="L1140" s="181"/>
      <c r="M1140" s="181"/>
    </row>
    <row r="1141" spans="1:13" x14ac:dyDescent="0.2">
      <c r="A1141" s="185"/>
      <c r="B1141" s="186"/>
      <c r="C1141" s="187"/>
      <c r="D1141" s="188"/>
      <c r="E1141" s="188"/>
      <c r="F1141" s="188"/>
      <c r="G1141" s="188"/>
      <c r="H1141" s="188"/>
      <c r="I1141" s="202"/>
      <c r="J1141" s="203"/>
      <c r="K1141" s="211">
        <f>SUM(K1139:K1140)</f>
        <v>150000</v>
      </c>
      <c r="L1141" s="193"/>
      <c r="M1141" s="193"/>
    </row>
    <row r="1142" spans="1:13" ht="24" customHeight="1" x14ac:dyDescent="0.2">
      <c r="A1142" s="163">
        <v>287</v>
      </c>
      <c r="B1142" s="164" t="s">
        <v>1594</v>
      </c>
      <c r="C1142" s="165"/>
      <c r="D1142" s="166" t="s">
        <v>163</v>
      </c>
      <c r="E1142" s="166"/>
      <c r="F1142" s="166"/>
      <c r="G1142" s="166"/>
      <c r="H1142" s="166" t="s">
        <v>164</v>
      </c>
      <c r="I1142" s="276" t="s">
        <v>1595</v>
      </c>
      <c r="J1142" s="249" t="s">
        <v>1415</v>
      </c>
      <c r="K1142" s="212">
        <f>80850*55%</f>
        <v>44467.5</v>
      </c>
      <c r="L1142" s="170" t="s">
        <v>166</v>
      </c>
      <c r="M1142" s="171" t="s">
        <v>1596</v>
      </c>
    </row>
    <row r="1143" spans="1:13" x14ac:dyDescent="0.2">
      <c r="A1143" s="173"/>
      <c r="B1143" s="174"/>
      <c r="C1143" s="175"/>
      <c r="D1143" s="176"/>
      <c r="E1143" s="176"/>
      <c r="F1143" s="176"/>
      <c r="G1143" s="176"/>
      <c r="H1143" s="176"/>
      <c r="I1143" s="184" t="s">
        <v>1597</v>
      </c>
      <c r="J1143" s="207" t="s">
        <v>683</v>
      </c>
      <c r="K1143" s="230">
        <f>80850*15%</f>
        <v>12127.5</v>
      </c>
      <c r="L1143" s="180"/>
      <c r="M1143" s="181"/>
    </row>
    <row r="1144" spans="1:13" x14ac:dyDescent="0.2">
      <c r="A1144" s="173"/>
      <c r="B1144" s="174"/>
      <c r="C1144" s="175"/>
      <c r="D1144" s="176"/>
      <c r="E1144" s="176"/>
      <c r="F1144" s="176"/>
      <c r="G1144" s="176"/>
      <c r="H1144" s="176"/>
      <c r="I1144" s="184" t="s">
        <v>1598</v>
      </c>
      <c r="J1144" s="207" t="s">
        <v>683</v>
      </c>
      <c r="K1144" s="230">
        <f>80850*15%</f>
        <v>12127.5</v>
      </c>
      <c r="L1144" s="180"/>
      <c r="M1144" s="181"/>
    </row>
    <row r="1145" spans="1:13" x14ac:dyDescent="0.2">
      <c r="A1145" s="173"/>
      <c r="B1145" s="174"/>
      <c r="C1145" s="175"/>
      <c r="D1145" s="176"/>
      <c r="E1145" s="176"/>
      <c r="F1145" s="176"/>
      <c r="G1145" s="176"/>
      <c r="H1145" s="176"/>
      <c r="I1145" s="184" t="s">
        <v>1599</v>
      </c>
      <c r="J1145" s="207" t="s">
        <v>683</v>
      </c>
      <c r="K1145" s="230">
        <f>80850*5%</f>
        <v>4042.5</v>
      </c>
      <c r="L1145" s="180"/>
      <c r="M1145" s="181"/>
    </row>
    <row r="1146" spans="1:13" x14ac:dyDescent="0.2">
      <c r="A1146" s="173"/>
      <c r="B1146" s="174"/>
      <c r="C1146" s="175"/>
      <c r="D1146" s="176"/>
      <c r="E1146" s="176"/>
      <c r="F1146" s="176"/>
      <c r="G1146" s="176"/>
      <c r="H1146" s="176"/>
      <c r="I1146" s="184" t="s">
        <v>1426</v>
      </c>
      <c r="J1146" s="207" t="s">
        <v>683</v>
      </c>
      <c r="K1146" s="230">
        <f>80850*5%</f>
        <v>4042.5</v>
      </c>
      <c r="L1146" s="180"/>
      <c r="M1146" s="181"/>
    </row>
    <row r="1147" spans="1:13" x14ac:dyDescent="0.2">
      <c r="A1147" s="173"/>
      <c r="B1147" s="174"/>
      <c r="C1147" s="175"/>
      <c r="D1147" s="176"/>
      <c r="E1147" s="176"/>
      <c r="F1147" s="176"/>
      <c r="G1147" s="176"/>
      <c r="H1147" s="176"/>
      <c r="I1147" s="184" t="s">
        <v>1600</v>
      </c>
      <c r="J1147" s="207" t="s">
        <v>683</v>
      </c>
      <c r="K1147" s="230">
        <f>80850*5%</f>
        <v>4042.5</v>
      </c>
      <c r="L1147" s="180"/>
      <c r="M1147" s="181"/>
    </row>
    <row r="1148" spans="1:13" x14ac:dyDescent="0.2">
      <c r="A1148" s="185"/>
      <c r="B1148" s="186"/>
      <c r="C1148" s="187"/>
      <c r="D1148" s="188"/>
      <c r="E1148" s="188"/>
      <c r="F1148" s="188"/>
      <c r="G1148" s="188"/>
      <c r="H1148" s="188"/>
      <c r="I1148" s="202"/>
      <c r="J1148" s="203"/>
      <c r="K1148" s="216">
        <f>SUM(K1142:K1147)</f>
        <v>80850</v>
      </c>
      <c r="L1148" s="192"/>
      <c r="M1148" s="193"/>
    </row>
    <row r="1149" spans="1:13" ht="21.75" customHeight="1" x14ac:dyDescent="0.2">
      <c r="A1149" s="163">
        <v>288</v>
      </c>
      <c r="B1149" s="164" t="s">
        <v>1601</v>
      </c>
      <c r="C1149" s="165"/>
      <c r="D1149" s="166" t="s">
        <v>163</v>
      </c>
      <c r="E1149" s="166"/>
      <c r="F1149" s="166"/>
      <c r="G1149" s="166"/>
      <c r="H1149" s="166"/>
      <c r="I1149" s="276" t="s">
        <v>1602</v>
      </c>
      <c r="J1149" s="249" t="s">
        <v>1415</v>
      </c>
      <c r="K1149" s="210">
        <f>150000*65%</f>
        <v>97500</v>
      </c>
      <c r="L1149" s="171" t="s">
        <v>166</v>
      </c>
      <c r="M1149" s="171" t="s">
        <v>1603</v>
      </c>
    </row>
    <row r="1150" spans="1:13" x14ac:dyDescent="0.2">
      <c r="A1150" s="173"/>
      <c r="B1150" s="174"/>
      <c r="C1150" s="175"/>
      <c r="D1150" s="176"/>
      <c r="E1150" s="176"/>
      <c r="F1150" s="176"/>
      <c r="G1150" s="176"/>
      <c r="H1150" s="176"/>
      <c r="I1150" s="184" t="s">
        <v>1604</v>
      </c>
      <c r="J1150" s="207" t="s">
        <v>275</v>
      </c>
      <c r="K1150" s="214">
        <f t="shared" ref="K1150:K1156" si="24">150000*5%</f>
        <v>7500</v>
      </c>
      <c r="L1150" s="181"/>
      <c r="M1150" s="181"/>
    </row>
    <row r="1151" spans="1:13" x14ac:dyDescent="0.2">
      <c r="A1151" s="173"/>
      <c r="B1151" s="174"/>
      <c r="C1151" s="175"/>
      <c r="D1151" s="176"/>
      <c r="E1151" s="176"/>
      <c r="F1151" s="176"/>
      <c r="G1151" s="176"/>
      <c r="H1151" s="176"/>
      <c r="I1151" s="184" t="s">
        <v>1535</v>
      </c>
      <c r="J1151" s="207" t="s">
        <v>683</v>
      </c>
      <c r="K1151" s="214">
        <f t="shared" si="24"/>
        <v>7500</v>
      </c>
      <c r="L1151" s="181"/>
      <c r="M1151" s="181"/>
    </row>
    <row r="1152" spans="1:13" x14ac:dyDescent="0.2">
      <c r="A1152" s="173"/>
      <c r="B1152" s="174"/>
      <c r="C1152" s="175"/>
      <c r="D1152" s="176"/>
      <c r="E1152" s="176"/>
      <c r="F1152" s="176"/>
      <c r="G1152" s="176"/>
      <c r="H1152" s="176"/>
      <c r="I1152" s="184" t="s">
        <v>1605</v>
      </c>
      <c r="J1152" s="207" t="s">
        <v>683</v>
      </c>
      <c r="K1152" s="214">
        <f t="shared" si="24"/>
        <v>7500</v>
      </c>
      <c r="L1152" s="181"/>
      <c r="M1152" s="181"/>
    </row>
    <row r="1153" spans="1:13" x14ac:dyDescent="0.2">
      <c r="A1153" s="173"/>
      <c r="B1153" s="174"/>
      <c r="C1153" s="175"/>
      <c r="D1153" s="176"/>
      <c r="E1153" s="176"/>
      <c r="F1153" s="176"/>
      <c r="G1153" s="176"/>
      <c r="H1153" s="176"/>
      <c r="I1153" s="184" t="s">
        <v>1606</v>
      </c>
      <c r="J1153" s="207" t="s">
        <v>1607</v>
      </c>
      <c r="K1153" s="214">
        <f t="shared" si="24"/>
        <v>7500</v>
      </c>
      <c r="L1153" s="181"/>
      <c r="M1153" s="181"/>
    </row>
    <row r="1154" spans="1:13" x14ac:dyDescent="0.2">
      <c r="A1154" s="173"/>
      <c r="B1154" s="174"/>
      <c r="C1154" s="175"/>
      <c r="D1154" s="176"/>
      <c r="E1154" s="176"/>
      <c r="F1154" s="176"/>
      <c r="G1154" s="176"/>
      <c r="H1154" s="176"/>
      <c r="I1154" s="184" t="s">
        <v>1608</v>
      </c>
      <c r="J1154" s="207" t="s">
        <v>683</v>
      </c>
      <c r="K1154" s="214">
        <f t="shared" si="24"/>
        <v>7500</v>
      </c>
      <c r="L1154" s="181"/>
      <c r="M1154" s="181"/>
    </row>
    <row r="1155" spans="1:13" x14ac:dyDescent="0.2">
      <c r="A1155" s="173"/>
      <c r="B1155" s="174"/>
      <c r="C1155" s="175"/>
      <c r="D1155" s="176"/>
      <c r="E1155" s="176"/>
      <c r="F1155" s="176"/>
      <c r="G1155" s="176"/>
      <c r="H1155" s="176"/>
      <c r="I1155" s="184" t="s">
        <v>1609</v>
      </c>
      <c r="J1155" s="207" t="s">
        <v>683</v>
      </c>
      <c r="K1155" s="214">
        <f t="shared" si="24"/>
        <v>7500</v>
      </c>
      <c r="L1155" s="181"/>
      <c r="M1155" s="181"/>
    </row>
    <row r="1156" spans="1:13" x14ac:dyDescent="0.2">
      <c r="A1156" s="173"/>
      <c r="B1156" s="174"/>
      <c r="C1156" s="175"/>
      <c r="D1156" s="176"/>
      <c r="E1156" s="176"/>
      <c r="F1156" s="176"/>
      <c r="G1156" s="176"/>
      <c r="H1156" s="176"/>
      <c r="I1156" s="184" t="s">
        <v>1610</v>
      </c>
      <c r="J1156" s="207" t="s">
        <v>683</v>
      </c>
      <c r="K1156" s="214">
        <f t="shared" si="24"/>
        <v>7500</v>
      </c>
      <c r="L1156" s="181"/>
      <c r="M1156" s="181"/>
    </row>
    <row r="1157" spans="1:13" x14ac:dyDescent="0.2">
      <c r="A1157" s="185"/>
      <c r="B1157" s="186"/>
      <c r="C1157" s="187"/>
      <c r="D1157" s="188"/>
      <c r="E1157" s="188"/>
      <c r="F1157" s="188"/>
      <c r="G1157" s="188"/>
      <c r="H1157" s="188"/>
      <c r="I1157" s="202"/>
      <c r="J1157" s="203"/>
      <c r="K1157" s="211">
        <f>SUM(K1149:K1156)</f>
        <v>150000</v>
      </c>
      <c r="L1157" s="193"/>
      <c r="M1157" s="193"/>
    </row>
    <row r="1158" spans="1:13" ht="24" customHeight="1" x14ac:dyDescent="0.2">
      <c r="A1158" s="163">
        <v>289</v>
      </c>
      <c r="B1158" s="164" t="s">
        <v>1611</v>
      </c>
      <c r="C1158" s="165"/>
      <c r="D1158" s="176" t="s">
        <v>163</v>
      </c>
      <c r="E1158" s="176"/>
      <c r="F1158" s="176"/>
      <c r="G1158" s="176"/>
      <c r="H1158" s="176"/>
      <c r="I1158" s="276" t="s">
        <v>1612</v>
      </c>
      <c r="J1158" s="249" t="s">
        <v>1572</v>
      </c>
      <c r="K1158" s="210">
        <f>195400*85%</f>
        <v>166090</v>
      </c>
      <c r="L1158" s="171" t="s">
        <v>166</v>
      </c>
      <c r="M1158" s="171" t="s">
        <v>1613</v>
      </c>
    </row>
    <row r="1159" spans="1:13" x14ac:dyDescent="0.2">
      <c r="A1159" s="173"/>
      <c r="B1159" s="174"/>
      <c r="C1159" s="175"/>
      <c r="D1159" s="176"/>
      <c r="E1159" s="176"/>
      <c r="F1159" s="176"/>
      <c r="G1159" s="176"/>
      <c r="H1159" s="176"/>
      <c r="I1159" s="184" t="s">
        <v>1605</v>
      </c>
      <c r="J1159" s="207" t="s">
        <v>683</v>
      </c>
      <c r="K1159" s="214">
        <f>195400*5%</f>
        <v>9770</v>
      </c>
      <c r="L1159" s="181"/>
      <c r="M1159" s="181"/>
    </row>
    <row r="1160" spans="1:13" x14ac:dyDescent="0.2">
      <c r="A1160" s="173"/>
      <c r="B1160" s="174"/>
      <c r="C1160" s="175"/>
      <c r="D1160" s="176"/>
      <c r="E1160" s="176"/>
      <c r="F1160" s="176"/>
      <c r="G1160" s="176"/>
      <c r="H1160" s="176"/>
      <c r="I1160" s="184" t="s">
        <v>1608</v>
      </c>
      <c r="J1160" s="207" t="s">
        <v>683</v>
      </c>
      <c r="K1160" s="214">
        <f>195400*5%</f>
        <v>9770</v>
      </c>
      <c r="L1160" s="181"/>
      <c r="M1160" s="181"/>
    </row>
    <row r="1161" spans="1:13" x14ac:dyDescent="0.2">
      <c r="A1161" s="173"/>
      <c r="B1161" s="174"/>
      <c r="C1161" s="175"/>
      <c r="D1161" s="176"/>
      <c r="E1161" s="176"/>
      <c r="F1161" s="176"/>
      <c r="G1161" s="176"/>
      <c r="H1161" s="176"/>
      <c r="I1161" s="184" t="s">
        <v>1519</v>
      </c>
      <c r="J1161" s="207" t="s">
        <v>683</v>
      </c>
      <c r="K1161" s="214">
        <f>195400*5%</f>
        <v>9770</v>
      </c>
      <c r="L1161" s="181"/>
      <c r="M1161" s="181"/>
    </row>
    <row r="1162" spans="1:13" x14ac:dyDescent="0.2">
      <c r="A1162" s="185"/>
      <c r="B1162" s="186"/>
      <c r="C1162" s="187"/>
      <c r="D1162" s="188"/>
      <c r="E1162" s="188"/>
      <c r="F1162" s="188"/>
      <c r="G1162" s="188"/>
      <c r="H1162" s="188"/>
      <c r="I1162" s="202"/>
      <c r="J1162" s="203"/>
      <c r="K1162" s="211">
        <f>SUM(K1158:K1161)</f>
        <v>195400</v>
      </c>
      <c r="L1162" s="193"/>
      <c r="M1162" s="193"/>
    </row>
    <row r="1163" spans="1:13" ht="24.75" customHeight="1" x14ac:dyDescent="0.2">
      <c r="A1163" s="163">
        <v>290</v>
      </c>
      <c r="B1163" s="164" t="s">
        <v>1614</v>
      </c>
      <c r="C1163" s="165"/>
      <c r="D1163" s="166" t="s">
        <v>163</v>
      </c>
      <c r="E1163" s="166"/>
      <c r="F1163" s="166"/>
      <c r="G1163" s="166"/>
      <c r="H1163" s="166"/>
      <c r="I1163" s="276" t="s">
        <v>1612</v>
      </c>
      <c r="J1163" s="249" t="s">
        <v>176</v>
      </c>
      <c r="K1163" s="210">
        <f>150000*85%</f>
        <v>127500</v>
      </c>
      <c r="L1163" s="171" t="s">
        <v>166</v>
      </c>
      <c r="M1163" s="171" t="s">
        <v>1615</v>
      </c>
    </row>
    <row r="1164" spans="1:13" x14ac:dyDescent="0.2">
      <c r="A1164" s="173"/>
      <c r="B1164" s="174"/>
      <c r="C1164" s="175"/>
      <c r="D1164" s="176"/>
      <c r="E1164" s="176"/>
      <c r="F1164" s="176"/>
      <c r="G1164" s="176"/>
      <c r="H1164" s="176"/>
      <c r="I1164" s="184" t="s">
        <v>1616</v>
      </c>
      <c r="J1164" s="207" t="s">
        <v>1434</v>
      </c>
      <c r="K1164" s="214">
        <f>150000*5%</f>
        <v>7500</v>
      </c>
      <c r="L1164" s="181"/>
      <c r="M1164" s="181"/>
    </row>
    <row r="1165" spans="1:13" x14ac:dyDescent="0.2">
      <c r="A1165" s="173"/>
      <c r="B1165" s="174"/>
      <c r="C1165" s="175"/>
      <c r="D1165" s="176"/>
      <c r="E1165" s="176"/>
      <c r="F1165" s="176"/>
      <c r="G1165" s="176"/>
      <c r="H1165" s="176"/>
      <c r="I1165" s="184" t="s">
        <v>1617</v>
      </c>
      <c r="J1165" s="207" t="s">
        <v>683</v>
      </c>
      <c r="K1165" s="214">
        <f>150000*5%</f>
        <v>7500</v>
      </c>
      <c r="L1165" s="181"/>
      <c r="M1165" s="181"/>
    </row>
    <row r="1166" spans="1:13" x14ac:dyDescent="0.2">
      <c r="A1166" s="173"/>
      <c r="B1166" s="174"/>
      <c r="C1166" s="175"/>
      <c r="D1166" s="176"/>
      <c r="E1166" s="176"/>
      <c r="F1166" s="176"/>
      <c r="G1166" s="176"/>
      <c r="H1166" s="176"/>
      <c r="I1166" s="184" t="s">
        <v>1618</v>
      </c>
      <c r="J1166" s="207" t="s">
        <v>683</v>
      </c>
      <c r="K1166" s="214">
        <f>150000*5%</f>
        <v>7500</v>
      </c>
      <c r="L1166" s="181"/>
      <c r="M1166" s="181"/>
    </row>
    <row r="1167" spans="1:13" x14ac:dyDescent="0.2">
      <c r="A1167" s="185"/>
      <c r="B1167" s="186"/>
      <c r="C1167" s="187"/>
      <c r="D1167" s="188"/>
      <c r="E1167" s="188"/>
      <c r="F1167" s="188"/>
      <c r="G1167" s="188"/>
      <c r="H1167" s="188"/>
      <c r="I1167" s="202"/>
      <c r="J1167" s="203"/>
      <c r="K1167" s="211">
        <f>SUM(K1163:K1166)</f>
        <v>150000</v>
      </c>
      <c r="L1167" s="193"/>
      <c r="M1167" s="193"/>
    </row>
    <row r="1168" spans="1:13" ht="22.5" customHeight="1" x14ac:dyDescent="0.2">
      <c r="A1168" s="163">
        <v>291</v>
      </c>
      <c r="B1168" s="164" t="s">
        <v>1619</v>
      </c>
      <c r="C1168" s="165"/>
      <c r="D1168" s="166" t="s">
        <v>163</v>
      </c>
      <c r="E1168" s="166"/>
      <c r="F1168" s="166"/>
      <c r="G1168" s="166"/>
      <c r="H1168" s="166" t="s">
        <v>108</v>
      </c>
      <c r="I1168" s="276" t="s">
        <v>1620</v>
      </c>
      <c r="J1168" s="249" t="s">
        <v>1621</v>
      </c>
      <c r="K1168" s="213">
        <f>80850*60%</f>
        <v>48510</v>
      </c>
      <c r="L1168" s="171" t="s">
        <v>166</v>
      </c>
      <c r="M1168" s="171" t="s">
        <v>1622</v>
      </c>
    </row>
    <row r="1169" spans="1:14" x14ac:dyDescent="0.2">
      <c r="A1169" s="173"/>
      <c r="B1169" s="174"/>
      <c r="C1169" s="175"/>
      <c r="D1169" s="176"/>
      <c r="E1169" s="176"/>
      <c r="F1169" s="176"/>
      <c r="G1169" s="176"/>
      <c r="H1169" s="176"/>
      <c r="I1169" s="184" t="s">
        <v>1623</v>
      </c>
      <c r="J1169" s="207" t="s">
        <v>1116</v>
      </c>
      <c r="K1169" s="200">
        <f>80850*20%</f>
        <v>16170</v>
      </c>
      <c r="L1169" s="181"/>
      <c r="M1169" s="181"/>
    </row>
    <row r="1170" spans="1:14" x14ac:dyDescent="0.2">
      <c r="A1170" s="173"/>
      <c r="B1170" s="174"/>
      <c r="C1170" s="175"/>
      <c r="D1170" s="176"/>
      <c r="E1170" s="176"/>
      <c r="F1170" s="176"/>
      <c r="G1170" s="176"/>
      <c r="H1170" s="176"/>
      <c r="I1170" s="184" t="s">
        <v>1624</v>
      </c>
      <c r="J1170" s="207" t="s">
        <v>683</v>
      </c>
      <c r="K1170" s="200">
        <f>80850*15%</f>
        <v>12127.5</v>
      </c>
      <c r="L1170" s="181"/>
      <c r="M1170" s="181"/>
    </row>
    <row r="1171" spans="1:14" x14ac:dyDescent="0.2">
      <c r="A1171" s="173"/>
      <c r="B1171" s="174"/>
      <c r="C1171" s="175"/>
      <c r="D1171" s="176"/>
      <c r="E1171" s="176"/>
      <c r="F1171" s="176"/>
      <c r="G1171" s="176"/>
      <c r="H1171" s="176"/>
      <c r="I1171" s="184" t="s">
        <v>1600</v>
      </c>
      <c r="J1171" s="207" t="s">
        <v>683</v>
      </c>
      <c r="K1171" s="200">
        <f>80850*5%</f>
        <v>4042.5</v>
      </c>
      <c r="L1171" s="181"/>
      <c r="M1171" s="181"/>
    </row>
    <row r="1172" spans="1:14" x14ac:dyDescent="0.2">
      <c r="A1172" s="185"/>
      <c r="B1172" s="186"/>
      <c r="C1172" s="187"/>
      <c r="D1172" s="188"/>
      <c r="E1172" s="188"/>
      <c r="F1172" s="188"/>
      <c r="G1172" s="188"/>
      <c r="H1172" s="188"/>
      <c r="I1172" s="202"/>
      <c r="J1172" s="203"/>
      <c r="K1172" s="211">
        <f>SUM(K1168:K1171)</f>
        <v>80850</v>
      </c>
      <c r="L1172" s="193"/>
      <c r="M1172" s="193"/>
    </row>
    <row r="1173" spans="1:14" x14ac:dyDescent="0.2">
      <c r="A1173" s="252">
        <v>292</v>
      </c>
      <c r="B1173" s="164" t="s">
        <v>1625</v>
      </c>
      <c r="C1173" s="165"/>
      <c r="D1173" s="166" t="s">
        <v>25</v>
      </c>
      <c r="E1173" s="166"/>
      <c r="F1173" s="166" t="s">
        <v>1265</v>
      </c>
      <c r="G1173" s="166" t="s">
        <v>1626</v>
      </c>
      <c r="H1173" s="166" t="s">
        <v>769</v>
      </c>
      <c r="I1173" s="437" t="s">
        <v>1627</v>
      </c>
      <c r="J1173" s="353" t="s">
        <v>1116</v>
      </c>
      <c r="K1173" s="375">
        <f>1500000*25%</f>
        <v>375000</v>
      </c>
      <c r="L1173" s="171" t="s">
        <v>1626</v>
      </c>
      <c r="M1173" s="171" t="s">
        <v>1628</v>
      </c>
    </row>
    <row r="1174" spans="1:14" x14ac:dyDescent="0.2">
      <c r="A1174" s="245"/>
      <c r="B1174" s="174"/>
      <c r="C1174" s="175"/>
      <c r="D1174" s="176"/>
      <c r="E1174" s="176"/>
      <c r="F1174" s="176"/>
      <c r="G1174" s="176"/>
      <c r="H1174" s="176"/>
      <c r="I1174" s="438" t="s">
        <v>1629</v>
      </c>
      <c r="J1174" s="376" t="s">
        <v>1116</v>
      </c>
      <c r="K1174" s="196">
        <f>1500000*25%</f>
        <v>375000</v>
      </c>
      <c r="L1174" s="181"/>
      <c r="M1174" s="181"/>
    </row>
    <row r="1175" spans="1:14" x14ac:dyDescent="0.2">
      <c r="A1175" s="245"/>
      <c r="B1175" s="174"/>
      <c r="C1175" s="175"/>
      <c r="D1175" s="176"/>
      <c r="E1175" s="176"/>
      <c r="F1175" s="176"/>
      <c r="G1175" s="176"/>
      <c r="H1175" s="176"/>
      <c r="I1175" s="437" t="s">
        <v>1630</v>
      </c>
      <c r="J1175" s="439" t="s">
        <v>1020</v>
      </c>
      <c r="K1175" s="214">
        <f>1500000*25%</f>
        <v>375000</v>
      </c>
      <c r="L1175" s="181"/>
      <c r="M1175" s="181"/>
      <c r="N1175" s="172"/>
    </row>
    <row r="1176" spans="1:14" x14ac:dyDescent="0.2">
      <c r="A1176" s="245"/>
      <c r="B1176" s="174"/>
      <c r="C1176" s="175"/>
      <c r="D1176" s="176"/>
      <c r="E1176" s="176"/>
      <c r="F1176" s="176"/>
      <c r="G1176" s="176"/>
      <c r="H1176" s="176"/>
      <c r="I1176" s="184" t="s">
        <v>1631</v>
      </c>
      <c r="J1176" s="168" t="s">
        <v>1116</v>
      </c>
      <c r="K1176" s="278">
        <f>1500000*25%</f>
        <v>375000</v>
      </c>
      <c r="L1176" s="181"/>
      <c r="M1176" s="181"/>
    </row>
    <row r="1177" spans="1:14" x14ac:dyDescent="0.2">
      <c r="A1177" s="246"/>
      <c r="B1177" s="186"/>
      <c r="C1177" s="187"/>
      <c r="D1177" s="188"/>
      <c r="E1177" s="188"/>
      <c r="F1177" s="188"/>
      <c r="G1177" s="188"/>
      <c r="H1177" s="188"/>
      <c r="I1177" s="202"/>
      <c r="J1177" s="203"/>
      <c r="K1177" s="247">
        <v>1500000</v>
      </c>
      <c r="L1177" s="193"/>
      <c r="M1177" s="193"/>
    </row>
    <row r="1178" spans="1:14" ht="42.75" customHeight="1" x14ac:dyDescent="0.2">
      <c r="A1178" s="305">
        <v>293</v>
      </c>
      <c r="B1178" s="164" t="s">
        <v>1632</v>
      </c>
      <c r="C1178" s="165"/>
      <c r="D1178" s="307" t="s">
        <v>107</v>
      </c>
      <c r="E1178" s="308"/>
      <c r="F1178" s="308"/>
      <c r="G1178" s="308"/>
      <c r="H1178" s="308"/>
      <c r="I1178" s="353" t="s">
        <v>1633</v>
      </c>
      <c r="J1178" s="314" t="s">
        <v>683</v>
      </c>
      <c r="K1178" s="260">
        <v>18000</v>
      </c>
      <c r="L1178" s="309" t="s">
        <v>111</v>
      </c>
      <c r="M1178" s="261" t="s">
        <v>1634</v>
      </c>
    </row>
    <row r="1179" spans="1:14" ht="60" customHeight="1" x14ac:dyDescent="0.2">
      <c r="A1179" s="305">
        <v>294</v>
      </c>
      <c r="B1179" s="164" t="s">
        <v>1635</v>
      </c>
      <c r="C1179" s="165"/>
      <c r="D1179" s="307" t="s">
        <v>107</v>
      </c>
      <c r="E1179" s="308"/>
      <c r="F1179" s="308"/>
      <c r="G1179" s="308"/>
      <c r="H1179" s="308"/>
      <c r="I1179" s="353" t="s">
        <v>1636</v>
      </c>
      <c r="J1179" s="302" t="s">
        <v>683</v>
      </c>
      <c r="K1179" s="260">
        <v>18000</v>
      </c>
      <c r="L1179" s="309" t="s">
        <v>111</v>
      </c>
      <c r="M1179" s="261" t="s">
        <v>1637</v>
      </c>
    </row>
    <row r="1180" spans="1:14" ht="23.25" customHeight="1" x14ac:dyDescent="0.2">
      <c r="A1180" s="163">
        <v>295</v>
      </c>
      <c r="B1180" s="164" t="s">
        <v>1638</v>
      </c>
      <c r="C1180" s="165"/>
      <c r="D1180" s="252"/>
      <c r="E1180" s="166"/>
      <c r="F1180" s="166"/>
      <c r="G1180" s="166"/>
      <c r="H1180" s="166" t="s">
        <v>1421</v>
      </c>
      <c r="I1180" s="217" t="s">
        <v>1639</v>
      </c>
      <c r="J1180" s="168" t="s">
        <v>683</v>
      </c>
      <c r="K1180" s="169">
        <f>K1187*55%</f>
        <v>44467.5</v>
      </c>
      <c r="L1180" s="170" t="s">
        <v>325</v>
      </c>
      <c r="M1180" s="171" t="s">
        <v>1640</v>
      </c>
    </row>
    <row r="1181" spans="1:14" x14ac:dyDescent="0.2">
      <c r="A1181" s="173"/>
      <c r="B1181" s="174"/>
      <c r="C1181" s="175"/>
      <c r="D1181" s="245"/>
      <c r="E1181" s="176"/>
      <c r="F1181" s="176"/>
      <c r="G1181" s="176"/>
      <c r="H1181" s="176"/>
      <c r="I1181" s="184" t="s">
        <v>1493</v>
      </c>
      <c r="J1181" s="178" t="s">
        <v>1116</v>
      </c>
      <c r="K1181" s="208">
        <f>K1187*10%</f>
        <v>8085</v>
      </c>
      <c r="L1181" s="180"/>
      <c r="M1181" s="181"/>
    </row>
    <row r="1182" spans="1:14" x14ac:dyDescent="0.2">
      <c r="A1182" s="173"/>
      <c r="B1182" s="174"/>
      <c r="C1182" s="175"/>
      <c r="D1182" s="245"/>
      <c r="E1182" s="176"/>
      <c r="F1182" s="176"/>
      <c r="G1182" s="176"/>
      <c r="H1182" s="176"/>
      <c r="I1182" s="167" t="s">
        <v>1641</v>
      </c>
      <c r="J1182" s="168" t="s">
        <v>683</v>
      </c>
      <c r="K1182" s="201">
        <f>K1187*10%</f>
        <v>8085</v>
      </c>
      <c r="L1182" s="180"/>
      <c r="M1182" s="181"/>
    </row>
    <row r="1183" spans="1:14" x14ac:dyDescent="0.2">
      <c r="A1183" s="173"/>
      <c r="B1183" s="174"/>
      <c r="C1183" s="175"/>
      <c r="D1183" s="245"/>
      <c r="E1183" s="176"/>
      <c r="F1183" s="176"/>
      <c r="G1183" s="176"/>
      <c r="H1183" s="176"/>
      <c r="I1183" s="184" t="s">
        <v>1642</v>
      </c>
      <c r="J1183" s="178" t="s">
        <v>683</v>
      </c>
      <c r="K1183" s="208">
        <f>K1187*10%</f>
        <v>8085</v>
      </c>
      <c r="L1183" s="180"/>
      <c r="M1183" s="181"/>
    </row>
    <row r="1184" spans="1:14" x14ac:dyDescent="0.2">
      <c r="A1184" s="173"/>
      <c r="B1184" s="174"/>
      <c r="C1184" s="175"/>
      <c r="D1184" s="245"/>
      <c r="E1184" s="176"/>
      <c r="F1184" s="176"/>
      <c r="G1184" s="176"/>
      <c r="H1184" s="176"/>
      <c r="I1184" s="184" t="s">
        <v>1643</v>
      </c>
      <c r="J1184" s="168" t="s">
        <v>683</v>
      </c>
      <c r="K1184" s="182">
        <f>K1187*5%</f>
        <v>4042.5</v>
      </c>
      <c r="L1184" s="180"/>
      <c r="M1184" s="181"/>
    </row>
    <row r="1185" spans="1:14" x14ac:dyDescent="0.2">
      <c r="A1185" s="173"/>
      <c r="B1185" s="174"/>
      <c r="C1185" s="175"/>
      <c r="D1185" s="245"/>
      <c r="E1185" s="176"/>
      <c r="F1185" s="176"/>
      <c r="G1185" s="176"/>
      <c r="H1185" s="176"/>
      <c r="I1185" s="184" t="s">
        <v>1599</v>
      </c>
      <c r="J1185" s="178" t="s">
        <v>683</v>
      </c>
      <c r="K1185" s="179">
        <f>K1187*5%</f>
        <v>4042.5</v>
      </c>
      <c r="L1185" s="180"/>
      <c r="M1185" s="181"/>
    </row>
    <row r="1186" spans="1:14" x14ac:dyDescent="0.2">
      <c r="A1186" s="173"/>
      <c r="B1186" s="174"/>
      <c r="C1186" s="175"/>
      <c r="D1186" s="245"/>
      <c r="E1186" s="176"/>
      <c r="F1186" s="176"/>
      <c r="G1186" s="176"/>
      <c r="H1186" s="176"/>
      <c r="I1186" s="184" t="s">
        <v>1644</v>
      </c>
      <c r="J1186" s="178" t="s">
        <v>683</v>
      </c>
      <c r="K1186" s="179">
        <f>K1187*5%</f>
        <v>4042.5</v>
      </c>
      <c r="L1186" s="180"/>
      <c r="M1186" s="181"/>
    </row>
    <row r="1187" spans="1:14" x14ac:dyDescent="0.2">
      <c r="A1187" s="185"/>
      <c r="B1187" s="186"/>
      <c r="C1187" s="187"/>
      <c r="D1187" s="246"/>
      <c r="E1187" s="188"/>
      <c r="F1187" s="188"/>
      <c r="G1187" s="188"/>
      <c r="H1187" s="188"/>
      <c r="I1187" s="189"/>
      <c r="J1187" s="215"/>
      <c r="K1187" s="216">
        <v>80850</v>
      </c>
      <c r="L1187" s="192"/>
      <c r="M1187" s="193"/>
    </row>
    <row r="1188" spans="1:14" ht="21" customHeight="1" x14ac:dyDescent="0.2">
      <c r="A1188" s="163">
        <v>296</v>
      </c>
      <c r="B1188" s="164" t="s">
        <v>1645</v>
      </c>
      <c r="C1188" s="165"/>
      <c r="D1188" s="252" t="s">
        <v>107</v>
      </c>
      <c r="E1188" s="166"/>
      <c r="F1188" s="166"/>
      <c r="G1188" s="166"/>
      <c r="H1188" s="248" t="s">
        <v>164</v>
      </c>
      <c r="I1188" s="167" t="s">
        <v>1646</v>
      </c>
      <c r="J1188" s="223" t="s">
        <v>1116</v>
      </c>
      <c r="K1188" s="382">
        <f>10000*80%</f>
        <v>8000</v>
      </c>
      <c r="L1188" s="195" t="s">
        <v>111</v>
      </c>
      <c r="M1188" s="171" t="s">
        <v>1647</v>
      </c>
    </row>
    <row r="1189" spans="1:14" ht="20.25" customHeight="1" x14ac:dyDescent="0.2">
      <c r="A1189" s="173"/>
      <c r="B1189" s="174"/>
      <c r="C1189" s="175"/>
      <c r="D1189" s="245"/>
      <c r="E1189" s="176"/>
      <c r="F1189" s="176"/>
      <c r="G1189" s="176"/>
      <c r="H1189" s="250"/>
      <c r="I1189" s="184" t="s">
        <v>1648</v>
      </c>
      <c r="J1189" s="207" t="s">
        <v>1434</v>
      </c>
      <c r="K1189" s="214">
        <f>10000*20%</f>
        <v>2000</v>
      </c>
      <c r="L1189" s="197"/>
      <c r="M1189" s="181"/>
    </row>
    <row r="1190" spans="1:14" x14ac:dyDescent="0.2">
      <c r="A1190" s="185"/>
      <c r="B1190" s="186"/>
      <c r="C1190" s="187"/>
      <c r="D1190" s="246"/>
      <c r="E1190" s="188"/>
      <c r="F1190" s="188"/>
      <c r="G1190" s="188"/>
      <c r="H1190" s="251"/>
      <c r="I1190" s="202"/>
      <c r="J1190" s="138"/>
      <c r="K1190" s="247">
        <f>SUM(K1188:K1189)</f>
        <v>10000</v>
      </c>
      <c r="L1190" s="205"/>
      <c r="M1190" s="193"/>
    </row>
    <row r="1191" spans="1:14" ht="48.75" customHeight="1" x14ac:dyDescent="0.2">
      <c r="A1191" s="305">
        <v>297</v>
      </c>
      <c r="B1191" s="164" t="s">
        <v>1649</v>
      </c>
      <c r="C1191" s="165"/>
      <c r="D1191" s="307" t="s">
        <v>107</v>
      </c>
      <c r="E1191" s="308"/>
      <c r="F1191" s="308"/>
      <c r="G1191" s="308"/>
      <c r="H1191" s="417"/>
      <c r="I1191" s="353" t="s">
        <v>1650</v>
      </c>
      <c r="J1191" s="353" t="s">
        <v>683</v>
      </c>
      <c r="K1191" s="284">
        <f>20000*100%</f>
        <v>20000</v>
      </c>
      <c r="L1191" s="306" t="s">
        <v>111</v>
      </c>
      <c r="M1191" s="261" t="s">
        <v>1651</v>
      </c>
    </row>
    <row r="1192" spans="1:14" x14ac:dyDescent="0.2">
      <c r="A1192" s="317">
        <v>298</v>
      </c>
      <c r="B1192" s="164" t="s">
        <v>1652</v>
      </c>
      <c r="C1192" s="165"/>
      <c r="D1192" s="166" t="s">
        <v>25</v>
      </c>
      <c r="E1192" s="166"/>
      <c r="F1192" s="166" t="s">
        <v>1265</v>
      </c>
      <c r="G1192" s="166" t="s">
        <v>1626</v>
      </c>
      <c r="H1192" s="166" t="s">
        <v>769</v>
      </c>
      <c r="I1192" s="261" t="s">
        <v>1653</v>
      </c>
      <c r="J1192" s="386" t="s">
        <v>683</v>
      </c>
      <c r="K1192" s="375">
        <f>500000*50%</f>
        <v>250000</v>
      </c>
      <c r="L1192" s="171" t="s">
        <v>1626</v>
      </c>
      <c r="M1192" s="171" t="s">
        <v>1654</v>
      </c>
    </row>
    <row r="1193" spans="1:14" x14ac:dyDescent="0.2">
      <c r="A1193" s="318"/>
      <c r="B1193" s="174"/>
      <c r="C1193" s="175"/>
      <c r="D1193" s="176"/>
      <c r="E1193" s="176"/>
      <c r="F1193" s="176"/>
      <c r="G1193" s="176"/>
      <c r="H1193" s="176"/>
      <c r="I1193" s="184" t="s">
        <v>1655</v>
      </c>
      <c r="J1193" s="440" t="s">
        <v>683</v>
      </c>
      <c r="K1193" s="214">
        <f>500000*15%</f>
        <v>75000</v>
      </c>
      <c r="L1193" s="181"/>
      <c r="M1193" s="181"/>
    </row>
    <row r="1194" spans="1:14" x14ac:dyDescent="0.2">
      <c r="A1194" s="318"/>
      <c r="B1194" s="174"/>
      <c r="C1194" s="175"/>
      <c r="D1194" s="176"/>
      <c r="E1194" s="176"/>
      <c r="F1194" s="176"/>
      <c r="G1194" s="176"/>
      <c r="H1194" s="176"/>
      <c r="I1194" s="184" t="s">
        <v>1656</v>
      </c>
      <c r="J1194" s="441" t="s">
        <v>683</v>
      </c>
      <c r="K1194" s="382">
        <f>500000*15%</f>
        <v>75000</v>
      </c>
      <c r="L1194" s="181"/>
      <c r="M1194" s="181"/>
    </row>
    <row r="1195" spans="1:14" x14ac:dyDescent="0.2">
      <c r="A1195" s="318"/>
      <c r="B1195" s="174"/>
      <c r="C1195" s="175"/>
      <c r="D1195" s="176"/>
      <c r="E1195" s="176"/>
      <c r="F1195" s="176"/>
      <c r="G1195" s="176"/>
      <c r="H1195" s="176"/>
      <c r="I1195" s="167" t="s">
        <v>1657</v>
      </c>
      <c r="J1195" s="138" t="s">
        <v>683</v>
      </c>
      <c r="K1195" s="382">
        <f>500000*10%</f>
        <v>50000</v>
      </c>
      <c r="L1195" s="181"/>
      <c r="M1195" s="181"/>
    </row>
    <row r="1196" spans="1:14" x14ac:dyDescent="0.2">
      <c r="A1196" s="318"/>
      <c r="B1196" s="174"/>
      <c r="C1196" s="175"/>
      <c r="D1196" s="176"/>
      <c r="E1196" s="176"/>
      <c r="F1196" s="176"/>
      <c r="G1196" s="176"/>
      <c r="H1196" s="176"/>
      <c r="I1196" s="177" t="s">
        <v>1658</v>
      </c>
      <c r="J1196" s="440" t="s">
        <v>683</v>
      </c>
      <c r="K1196" s="382">
        <f>500000*10%</f>
        <v>50000</v>
      </c>
      <c r="L1196" s="181"/>
      <c r="M1196" s="181"/>
    </row>
    <row r="1197" spans="1:14" x14ac:dyDescent="0.2">
      <c r="A1197" s="319"/>
      <c r="B1197" s="186"/>
      <c r="C1197" s="187"/>
      <c r="D1197" s="188"/>
      <c r="E1197" s="188"/>
      <c r="F1197" s="188"/>
      <c r="G1197" s="188"/>
      <c r="H1197" s="188"/>
      <c r="I1197" s="177"/>
      <c r="J1197" s="138"/>
      <c r="K1197" s="247">
        <f>SUM(K1192:K1196)</f>
        <v>500000</v>
      </c>
      <c r="L1197" s="193"/>
      <c r="M1197" s="193"/>
    </row>
    <row r="1198" spans="1:14" x14ac:dyDescent="0.2">
      <c r="A1198" s="317">
        <v>299</v>
      </c>
      <c r="B1198" s="164" t="s">
        <v>1659</v>
      </c>
      <c r="C1198" s="165"/>
      <c r="D1198" s="252" t="s">
        <v>25</v>
      </c>
      <c r="E1198" s="252"/>
      <c r="F1198" s="252" t="s">
        <v>1265</v>
      </c>
      <c r="G1198" s="252" t="s">
        <v>1660</v>
      </c>
      <c r="H1198" s="252" t="s">
        <v>769</v>
      </c>
      <c r="I1198" s="217" t="s">
        <v>1661</v>
      </c>
      <c r="J1198" s="386" t="s">
        <v>683</v>
      </c>
      <c r="K1198" s="375">
        <f>4870000*50%</f>
        <v>2435000</v>
      </c>
      <c r="L1198" s="171" t="s">
        <v>1660</v>
      </c>
      <c r="M1198" s="171" t="s">
        <v>1662</v>
      </c>
    </row>
    <row r="1199" spans="1:14" x14ac:dyDescent="0.2">
      <c r="A1199" s="318"/>
      <c r="B1199" s="174"/>
      <c r="C1199" s="175"/>
      <c r="D1199" s="245"/>
      <c r="E1199" s="245"/>
      <c r="F1199" s="245"/>
      <c r="G1199" s="245"/>
      <c r="H1199" s="245"/>
      <c r="I1199" s="276" t="s">
        <v>1493</v>
      </c>
      <c r="J1199" s="207" t="s">
        <v>683</v>
      </c>
      <c r="K1199" s="214">
        <f>4870000*10%</f>
        <v>487000</v>
      </c>
      <c r="L1199" s="181"/>
      <c r="M1199" s="181"/>
    </row>
    <row r="1200" spans="1:14" x14ac:dyDescent="0.2">
      <c r="A1200" s="318"/>
      <c r="B1200" s="174"/>
      <c r="C1200" s="175"/>
      <c r="D1200" s="245"/>
      <c r="E1200" s="245"/>
      <c r="F1200" s="245"/>
      <c r="G1200" s="245"/>
      <c r="H1200" s="245"/>
      <c r="I1200" s="184" t="s">
        <v>1663</v>
      </c>
      <c r="J1200" s="441" t="s">
        <v>681</v>
      </c>
      <c r="K1200" s="214">
        <f>4870000*10%</f>
        <v>487000</v>
      </c>
      <c r="L1200" s="181"/>
      <c r="M1200" s="181"/>
      <c r="N1200" s="172"/>
    </row>
    <row r="1201" spans="1:67" x14ac:dyDescent="0.2">
      <c r="A1201" s="318"/>
      <c r="B1201" s="174"/>
      <c r="C1201" s="175"/>
      <c r="D1201" s="245"/>
      <c r="E1201" s="245"/>
      <c r="F1201" s="245"/>
      <c r="G1201" s="245"/>
      <c r="H1201" s="245"/>
      <c r="I1201" s="167" t="s">
        <v>1664</v>
      </c>
      <c r="J1201" s="138" t="s">
        <v>683</v>
      </c>
      <c r="K1201" s="382">
        <f>4870000*30%</f>
        <v>1461000</v>
      </c>
      <c r="L1201" s="181"/>
      <c r="M1201" s="181"/>
    </row>
    <row r="1202" spans="1:67" x14ac:dyDescent="0.2">
      <c r="A1202" s="319"/>
      <c r="B1202" s="186"/>
      <c r="C1202" s="187"/>
      <c r="D1202" s="246"/>
      <c r="E1202" s="246"/>
      <c r="F1202" s="246"/>
      <c r="G1202" s="246"/>
      <c r="H1202" s="246"/>
      <c r="I1202" s="202"/>
      <c r="J1202" s="381"/>
      <c r="K1202" s="247">
        <f>SUM(K1198:K1201)</f>
        <v>4870000</v>
      </c>
      <c r="L1202" s="193"/>
      <c r="M1202" s="193"/>
    </row>
    <row r="1203" spans="1:67" s="269" customFormat="1" ht="70.5" customHeight="1" x14ac:dyDescent="0.2">
      <c r="A1203" s="442">
        <v>300</v>
      </c>
      <c r="B1203" s="310" t="s">
        <v>1665</v>
      </c>
      <c r="C1203" s="311"/>
      <c r="D1203" s="308" t="s">
        <v>107</v>
      </c>
      <c r="E1203" s="308"/>
      <c r="F1203" s="308"/>
      <c r="G1203" s="308"/>
      <c r="H1203" s="308"/>
      <c r="I1203" s="167" t="s">
        <v>1552</v>
      </c>
      <c r="J1203" s="138" t="s">
        <v>683</v>
      </c>
      <c r="K1203" s="382">
        <v>36200</v>
      </c>
      <c r="L1203" s="306" t="s">
        <v>111</v>
      </c>
      <c r="M1203" s="261" t="s">
        <v>1666</v>
      </c>
      <c r="N1203" s="172"/>
      <c r="O1203" s="132"/>
      <c r="P1203" s="132"/>
      <c r="Q1203" s="132"/>
      <c r="R1203" s="132"/>
      <c r="S1203" s="132"/>
      <c r="T1203" s="132"/>
      <c r="U1203" s="132"/>
      <c r="V1203" s="132"/>
      <c r="W1203" s="132"/>
      <c r="X1203" s="132"/>
      <c r="Y1203" s="132"/>
      <c r="Z1203" s="132"/>
      <c r="AA1203" s="132"/>
      <c r="AB1203" s="132"/>
      <c r="AC1203" s="132"/>
      <c r="AD1203" s="132"/>
      <c r="AE1203" s="132"/>
      <c r="AF1203" s="132"/>
      <c r="AG1203" s="132"/>
      <c r="AH1203" s="132"/>
      <c r="AI1203" s="132"/>
      <c r="AJ1203" s="132"/>
      <c r="AK1203" s="132"/>
      <c r="AL1203" s="132"/>
      <c r="AM1203" s="132"/>
      <c r="AN1203" s="132"/>
      <c r="AO1203" s="132"/>
      <c r="AP1203" s="132"/>
      <c r="AQ1203" s="132"/>
      <c r="AR1203" s="132"/>
      <c r="AS1203" s="132"/>
      <c r="AT1203" s="132"/>
      <c r="AU1203" s="132"/>
      <c r="AV1203" s="132"/>
      <c r="AW1203" s="132"/>
      <c r="AX1203" s="132"/>
      <c r="AY1203" s="132"/>
      <c r="AZ1203" s="132"/>
      <c r="BA1203" s="132"/>
      <c r="BB1203" s="132"/>
      <c r="BC1203" s="132"/>
      <c r="BD1203" s="132"/>
      <c r="BE1203" s="132"/>
      <c r="BF1203" s="132"/>
      <c r="BG1203" s="132"/>
      <c r="BH1203" s="132"/>
      <c r="BI1203" s="132"/>
      <c r="BJ1203" s="132"/>
      <c r="BK1203" s="132"/>
      <c r="BL1203" s="132"/>
      <c r="BM1203" s="132"/>
      <c r="BN1203" s="132"/>
      <c r="BO1203" s="132"/>
    </row>
    <row r="1204" spans="1:67" s="269" customFormat="1" ht="69" customHeight="1" x14ac:dyDescent="0.2">
      <c r="A1204" s="324">
        <v>301</v>
      </c>
      <c r="B1204" s="310" t="s">
        <v>1667</v>
      </c>
      <c r="C1204" s="311"/>
      <c r="D1204" s="308" t="s">
        <v>107</v>
      </c>
      <c r="E1204" s="308"/>
      <c r="F1204" s="308"/>
      <c r="G1204" s="308"/>
      <c r="H1204" s="308"/>
      <c r="I1204" s="282" t="s">
        <v>1552</v>
      </c>
      <c r="J1204" s="312" t="s">
        <v>683</v>
      </c>
      <c r="K1204" s="284">
        <v>36200</v>
      </c>
      <c r="L1204" s="306" t="s">
        <v>111</v>
      </c>
      <c r="M1204" s="261" t="s">
        <v>1668</v>
      </c>
      <c r="N1204" s="172"/>
      <c r="O1204" s="132"/>
      <c r="P1204" s="132"/>
      <c r="Q1204" s="132"/>
      <c r="R1204" s="132"/>
      <c r="S1204" s="132"/>
      <c r="T1204" s="132"/>
      <c r="U1204" s="132"/>
      <c r="V1204" s="132"/>
      <c r="W1204" s="132"/>
      <c r="X1204" s="132"/>
      <c r="Y1204" s="132"/>
      <c r="Z1204" s="132"/>
      <c r="AA1204" s="132"/>
      <c r="AB1204" s="132"/>
      <c r="AC1204" s="132"/>
      <c r="AD1204" s="132"/>
      <c r="AE1204" s="132"/>
      <c r="AF1204" s="132"/>
      <c r="AG1204" s="132"/>
      <c r="AH1204" s="132"/>
      <c r="AI1204" s="132"/>
      <c r="AJ1204" s="132"/>
      <c r="AK1204" s="132"/>
      <c r="AL1204" s="132"/>
      <c r="AM1204" s="132"/>
      <c r="AN1204" s="132"/>
      <c r="AO1204" s="132"/>
      <c r="AP1204" s="132"/>
      <c r="AQ1204" s="132"/>
      <c r="AR1204" s="132"/>
      <c r="AS1204" s="132"/>
      <c r="AT1204" s="132"/>
      <c r="AU1204" s="132"/>
      <c r="AV1204" s="132"/>
      <c r="AW1204" s="132"/>
      <c r="AX1204" s="132"/>
      <c r="AY1204" s="132"/>
      <c r="AZ1204" s="132"/>
      <c r="BA1204" s="132"/>
      <c r="BB1204" s="132"/>
      <c r="BC1204" s="132"/>
      <c r="BD1204" s="132"/>
      <c r="BE1204" s="132"/>
      <c r="BF1204" s="132"/>
      <c r="BG1204" s="132"/>
      <c r="BH1204" s="132"/>
      <c r="BI1204" s="132"/>
      <c r="BJ1204" s="132"/>
      <c r="BK1204" s="132"/>
      <c r="BL1204" s="132"/>
      <c r="BM1204" s="132"/>
      <c r="BN1204" s="132"/>
      <c r="BO1204" s="132"/>
    </row>
    <row r="1205" spans="1:67" s="269" customFormat="1" x14ac:dyDescent="0.2">
      <c r="A1205" s="317">
        <v>302</v>
      </c>
      <c r="B1205" s="293" t="s">
        <v>1669</v>
      </c>
      <c r="C1205" s="294"/>
      <c r="D1205" s="166" t="s">
        <v>107</v>
      </c>
      <c r="E1205" s="166"/>
      <c r="F1205" s="166"/>
      <c r="G1205" s="166"/>
      <c r="H1205" s="166" t="s">
        <v>164</v>
      </c>
      <c r="I1205" s="217" t="s">
        <v>1670</v>
      </c>
      <c r="J1205" s="267" t="s">
        <v>683</v>
      </c>
      <c r="K1205" s="268">
        <f>10000*60%</f>
        <v>6000</v>
      </c>
      <c r="L1205" s="171" t="s">
        <v>111</v>
      </c>
      <c r="M1205" s="171" t="s">
        <v>1671</v>
      </c>
      <c r="N1205" s="132"/>
      <c r="O1205" s="132"/>
      <c r="P1205" s="132"/>
      <c r="Q1205" s="132"/>
      <c r="R1205" s="132"/>
      <c r="S1205" s="132"/>
      <c r="T1205" s="132"/>
      <c r="U1205" s="132"/>
      <c r="V1205" s="132"/>
      <c r="W1205" s="132"/>
      <c r="X1205" s="132"/>
      <c r="Y1205" s="132"/>
      <c r="Z1205" s="132"/>
      <c r="AA1205" s="132"/>
      <c r="AB1205" s="132"/>
      <c r="AC1205" s="132"/>
      <c r="AD1205" s="132"/>
      <c r="AE1205" s="132"/>
      <c r="AF1205" s="132"/>
      <c r="AG1205" s="132"/>
      <c r="AH1205" s="132"/>
      <c r="AI1205" s="132"/>
      <c r="AJ1205" s="132"/>
      <c r="AK1205" s="132"/>
      <c r="AL1205" s="132"/>
      <c r="AM1205" s="132"/>
      <c r="AN1205" s="132"/>
      <c r="AO1205" s="132"/>
      <c r="AP1205" s="132"/>
      <c r="AQ1205" s="132"/>
      <c r="AR1205" s="132"/>
      <c r="AS1205" s="132"/>
      <c r="AT1205" s="132"/>
      <c r="AU1205" s="132"/>
      <c r="AV1205" s="132"/>
      <c r="AW1205" s="132"/>
      <c r="AX1205" s="132"/>
      <c r="AY1205" s="132"/>
      <c r="AZ1205" s="132"/>
      <c r="BA1205" s="132"/>
      <c r="BB1205" s="132"/>
      <c r="BC1205" s="132"/>
      <c r="BD1205" s="132"/>
      <c r="BE1205" s="132"/>
      <c r="BF1205" s="132"/>
      <c r="BG1205" s="132"/>
      <c r="BH1205" s="132"/>
      <c r="BI1205" s="132"/>
      <c r="BJ1205" s="132"/>
      <c r="BK1205" s="132"/>
      <c r="BL1205" s="132"/>
      <c r="BM1205" s="132"/>
      <c r="BN1205" s="132"/>
      <c r="BO1205" s="132"/>
    </row>
    <row r="1206" spans="1:67" s="269" customFormat="1" x14ac:dyDescent="0.2">
      <c r="A1206" s="318"/>
      <c r="B1206" s="288"/>
      <c r="C1206" s="289"/>
      <c r="D1206" s="176"/>
      <c r="E1206" s="176"/>
      <c r="F1206" s="176"/>
      <c r="G1206" s="176"/>
      <c r="H1206" s="176"/>
      <c r="I1206" s="184" t="s">
        <v>1672</v>
      </c>
      <c r="J1206" s="272" t="s">
        <v>683</v>
      </c>
      <c r="K1206" s="214">
        <f>10000*40%</f>
        <v>4000</v>
      </c>
      <c r="L1206" s="181"/>
      <c r="M1206" s="181"/>
      <c r="N1206" s="132"/>
      <c r="O1206" s="132"/>
      <c r="P1206" s="132"/>
      <c r="Q1206" s="132"/>
      <c r="R1206" s="132"/>
      <c r="S1206" s="132"/>
      <c r="T1206" s="132"/>
      <c r="U1206" s="132"/>
      <c r="V1206" s="132"/>
      <c r="W1206" s="132"/>
      <c r="X1206" s="132"/>
      <c r="Y1206" s="132"/>
      <c r="Z1206" s="132"/>
      <c r="AA1206" s="132"/>
      <c r="AB1206" s="132"/>
      <c r="AC1206" s="132"/>
      <c r="AD1206" s="132"/>
      <c r="AE1206" s="132"/>
      <c r="AF1206" s="132"/>
      <c r="AG1206" s="132"/>
      <c r="AH1206" s="132"/>
      <c r="AI1206" s="132"/>
      <c r="AJ1206" s="132"/>
      <c r="AK1206" s="132"/>
      <c r="AL1206" s="132"/>
      <c r="AM1206" s="132"/>
      <c r="AN1206" s="132"/>
      <c r="AO1206" s="132"/>
      <c r="AP1206" s="132"/>
      <c r="AQ1206" s="132"/>
      <c r="AR1206" s="132"/>
      <c r="AS1206" s="132"/>
      <c r="AT1206" s="132"/>
      <c r="AU1206" s="132"/>
      <c r="AV1206" s="132"/>
      <c r="AW1206" s="132"/>
      <c r="AX1206" s="132"/>
      <c r="AY1206" s="132"/>
      <c r="AZ1206" s="132"/>
      <c r="BA1206" s="132"/>
      <c r="BB1206" s="132"/>
      <c r="BC1206" s="132"/>
      <c r="BD1206" s="132"/>
      <c r="BE1206" s="132"/>
      <c r="BF1206" s="132"/>
      <c r="BG1206" s="132"/>
      <c r="BH1206" s="132"/>
      <c r="BI1206" s="132"/>
      <c r="BJ1206" s="132"/>
      <c r="BK1206" s="132"/>
      <c r="BL1206" s="132"/>
      <c r="BM1206" s="132"/>
      <c r="BN1206" s="132"/>
      <c r="BO1206" s="132"/>
    </row>
    <row r="1207" spans="1:67" s="269" customFormat="1" x14ac:dyDescent="0.2">
      <c r="A1207" s="319"/>
      <c r="B1207" s="298"/>
      <c r="C1207" s="299"/>
      <c r="D1207" s="188"/>
      <c r="E1207" s="188"/>
      <c r="F1207" s="188"/>
      <c r="G1207" s="188"/>
      <c r="H1207" s="188"/>
      <c r="I1207" s="202"/>
      <c r="J1207" s="275"/>
      <c r="K1207" s="247">
        <f>SUM(K1205:K1206)</f>
        <v>10000</v>
      </c>
      <c r="L1207" s="193"/>
      <c r="M1207" s="193"/>
      <c r="N1207" s="132"/>
      <c r="O1207" s="132"/>
      <c r="P1207" s="132"/>
      <c r="Q1207" s="132"/>
      <c r="R1207" s="132"/>
      <c r="S1207" s="132"/>
      <c r="T1207" s="132"/>
      <c r="U1207" s="132"/>
      <c r="V1207" s="132"/>
      <c r="W1207" s="132"/>
      <c r="X1207" s="132"/>
      <c r="Y1207" s="132"/>
      <c r="Z1207" s="132"/>
      <c r="AA1207" s="132"/>
      <c r="AB1207" s="132"/>
      <c r="AC1207" s="132"/>
      <c r="AD1207" s="132"/>
      <c r="AE1207" s="132"/>
      <c r="AF1207" s="132"/>
      <c r="AG1207" s="132"/>
      <c r="AH1207" s="132"/>
      <c r="AI1207" s="132"/>
      <c r="AJ1207" s="132"/>
      <c r="AK1207" s="132"/>
      <c r="AL1207" s="132"/>
      <c r="AM1207" s="132"/>
      <c r="AN1207" s="132"/>
      <c r="AO1207" s="132"/>
      <c r="AP1207" s="132"/>
      <c r="AQ1207" s="132"/>
      <c r="AR1207" s="132"/>
      <c r="AS1207" s="132"/>
      <c r="AT1207" s="132"/>
      <c r="AU1207" s="132"/>
      <c r="AV1207" s="132"/>
      <c r="AW1207" s="132"/>
      <c r="AX1207" s="132"/>
      <c r="AY1207" s="132"/>
      <c r="AZ1207" s="132"/>
      <c r="BA1207" s="132"/>
      <c r="BB1207" s="132"/>
      <c r="BC1207" s="132"/>
      <c r="BD1207" s="132"/>
      <c r="BE1207" s="132"/>
      <c r="BF1207" s="132"/>
      <c r="BG1207" s="132"/>
      <c r="BH1207" s="132"/>
      <c r="BI1207" s="132"/>
      <c r="BJ1207" s="132"/>
      <c r="BK1207" s="132"/>
      <c r="BL1207" s="132"/>
      <c r="BM1207" s="132"/>
      <c r="BN1207" s="132"/>
      <c r="BO1207" s="132"/>
    </row>
    <row r="1208" spans="1:67" s="269" customFormat="1" x14ac:dyDescent="0.2">
      <c r="A1208" s="317">
        <v>303</v>
      </c>
      <c r="B1208" s="293" t="s">
        <v>1673</v>
      </c>
      <c r="C1208" s="294"/>
      <c r="D1208" s="166" t="s">
        <v>107</v>
      </c>
      <c r="E1208" s="166"/>
      <c r="F1208" s="166"/>
      <c r="G1208" s="166"/>
      <c r="H1208" s="166"/>
      <c r="I1208" s="276" t="s">
        <v>1674</v>
      </c>
      <c r="J1208" s="277" t="s">
        <v>683</v>
      </c>
      <c r="K1208" s="278">
        <f>80000*60%</f>
        <v>48000</v>
      </c>
      <c r="L1208" s="171" t="s">
        <v>111</v>
      </c>
      <c r="M1208" s="171" t="s">
        <v>1675</v>
      </c>
      <c r="N1208" s="132"/>
      <c r="O1208" s="132"/>
      <c r="P1208" s="132"/>
      <c r="Q1208" s="132"/>
      <c r="R1208" s="132"/>
      <c r="S1208" s="132"/>
      <c r="T1208" s="132"/>
      <c r="U1208" s="132"/>
      <c r="V1208" s="132"/>
      <c r="W1208" s="132"/>
      <c r="X1208" s="132"/>
      <c r="Y1208" s="132"/>
      <c r="Z1208" s="132"/>
      <c r="AA1208" s="132"/>
      <c r="AB1208" s="132"/>
      <c r="AC1208" s="132"/>
      <c r="AD1208" s="132"/>
      <c r="AE1208" s="132"/>
      <c r="AF1208" s="132"/>
      <c r="AG1208" s="132"/>
      <c r="AH1208" s="132"/>
      <c r="AI1208" s="132"/>
      <c r="AJ1208" s="132"/>
      <c r="AK1208" s="132"/>
      <c r="AL1208" s="132"/>
      <c r="AM1208" s="132"/>
      <c r="AN1208" s="132"/>
      <c r="AO1208" s="132"/>
      <c r="AP1208" s="132"/>
      <c r="AQ1208" s="132"/>
      <c r="AR1208" s="132"/>
      <c r="AS1208" s="132"/>
      <c r="AT1208" s="132"/>
      <c r="AU1208" s="132"/>
      <c r="AV1208" s="132"/>
      <c r="AW1208" s="132"/>
      <c r="AX1208" s="132"/>
      <c r="AY1208" s="132"/>
      <c r="AZ1208" s="132"/>
      <c r="BA1208" s="132"/>
      <c r="BB1208" s="132"/>
      <c r="BC1208" s="132"/>
      <c r="BD1208" s="132"/>
      <c r="BE1208" s="132"/>
      <c r="BF1208" s="132"/>
      <c r="BG1208" s="132"/>
      <c r="BH1208" s="132"/>
      <c r="BI1208" s="132"/>
      <c r="BJ1208" s="132"/>
      <c r="BK1208" s="132"/>
      <c r="BL1208" s="132"/>
      <c r="BM1208" s="132"/>
      <c r="BN1208" s="132"/>
      <c r="BO1208" s="132"/>
    </row>
    <row r="1209" spans="1:67" s="269" customFormat="1" x14ac:dyDescent="0.2">
      <c r="A1209" s="318"/>
      <c r="B1209" s="288"/>
      <c r="C1209" s="289"/>
      <c r="D1209" s="176"/>
      <c r="E1209" s="176"/>
      <c r="F1209" s="176"/>
      <c r="G1209" s="176"/>
      <c r="H1209" s="176"/>
      <c r="I1209" s="184" t="s">
        <v>1676</v>
      </c>
      <c r="J1209" s="272" t="s">
        <v>683</v>
      </c>
      <c r="K1209" s="214">
        <f>80000*30%</f>
        <v>24000</v>
      </c>
      <c r="L1209" s="181"/>
      <c r="M1209" s="181"/>
      <c r="N1209" s="132"/>
      <c r="O1209" s="132"/>
      <c r="P1209" s="132"/>
      <c r="Q1209" s="132"/>
      <c r="R1209" s="132"/>
      <c r="S1209" s="132"/>
      <c r="T1209" s="132"/>
      <c r="U1209" s="132"/>
      <c r="V1209" s="132"/>
      <c r="W1209" s="132"/>
      <c r="X1209" s="132"/>
      <c r="Y1209" s="132"/>
      <c r="Z1209" s="132"/>
      <c r="AA1209" s="132"/>
      <c r="AB1209" s="132"/>
      <c r="AC1209" s="132"/>
      <c r="AD1209" s="132"/>
      <c r="AE1209" s="132"/>
      <c r="AF1209" s="132"/>
      <c r="AG1209" s="132"/>
      <c r="AH1209" s="132"/>
      <c r="AI1209" s="132"/>
      <c r="AJ1209" s="132"/>
      <c r="AK1209" s="132"/>
      <c r="AL1209" s="132"/>
      <c r="AM1209" s="132"/>
      <c r="AN1209" s="132"/>
      <c r="AO1209" s="132"/>
      <c r="AP1209" s="132"/>
      <c r="AQ1209" s="132"/>
      <c r="AR1209" s="132"/>
      <c r="AS1209" s="132"/>
      <c r="AT1209" s="132"/>
      <c r="AU1209" s="132"/>
      <c r="AV1209" s="132"/>
      <c r="AW1209" s="132"/>
      <c r="AX1209" s="132"/>
      <c r="AY1209" s="132"/>
      <c r="AZ1209" s="132"/>
      <c r="BA1209" s="132"/>
      <c r="BB1209" s="132"/>
      <c r="BC1209" s="132"/>
      <c r="BD1209" s="132"/>
      <c r="BE1209" s="132"/>
      <c r="BF1209" s="132"/>
      <c r="BG1209" s="132"/>
      <c r="BH1209" s="132"/>
      <c r="BI1209" s="132"/>
      <c r="BJ1209" s="132"/>
      <c r="BK1209" s="132"/>
      <c r="BL1209" s="132"/>
      <c r="BM1209" s="132"/>
      <c r="BN1209" s="132"/>
      <c r="BO1209" s="132"/>
    </row>
    <row r="1210" spans="1:67" s="269" customFormat="1" x14ac:dyDescent="0.2">
      <c r="A1210" s="318"/>
      <c r="B1210" s="288"/>
      <c r="C1210" s="289"/>
      <c r="D1210" s="176"/>
      <c r="E1210" s="176"/>
      <c r="F1210" s="176"/>
      <c r="G1210" s="176"/>
      <c r="H1210" s="176"/>
      <c r="I1210" s="184" t="s">
        <v>1677</v>
      </c>
      <c r="J1210" s="272" t="s">
        <v>224</v>
      </c>
      <c r="K1210" s="214">
        <f>80000*10%</f>
        <v>8000</v>
      </c>
      <c r="L1210" s="181"/>
      <c r="M1210" s="181"/>
      <c r="N1210" s="132"/>
      <c r="O1210" s="132"/>
      <c r="P1210" s="132"/>
      <c r="Q1210" s="132"/>
      <c r="R1210" s="132"/>
      <c r="S1210" s="132"/>
      <c r="T1210" s="132"/>
      <c r="U1210" s="132"/>
      <c r="V1210" s="132"/>
      <c r="W1210" s="132"/>
      <c r="X1210" s="132"/>
      <c r="Y1210" s="132"/>
      <c r="Z1210" s="132"/>
      <c r="AA1210" s="132"/>
      <c r="AB1210" s="132"/>
      <c r="AC1210" s="132"/>
      <c r="AD1210" s="132"/>
      <c r="AE1210" s="132"/>
      <c r="AF1210" s="132"/>
      <c r="AG1210" s="132"/>
      <c r="AH1210" s="132"/>
      <c r="AI1210" s="132"/>
      <c r="AJ1210" s="132"/>
      <c r="AK1210" s="132"/>
      <c r="AL1210" s="132"/>
      <c r="AM1210" s="132"/>
      <c r="AN1210" s="132"/>
      <c r="AO1210" s="132"/>
      <c r="AP1210" s="132"/>
      <c r="AQ1210" s="132"/>
      <c r="AR1210" s="132"/>
      <c r="AS1210" s="132"/>
      <c r="AT1210" s="132"/>
      <c r="AU1210" s="132"/>
      <c r="AV1210" s="132"/>
      <c r="AW1210" s="132"/>
      <c r="AX1210" s="132"/>
      <c r="AY1210" s="132"/>
      <c r="AZ1210" s="132"/>
      <c r="BA1210" s="132"/>
      <c r="BB1210" s="132"/>
      <c r="BC1210" s="132"/>
      <c r="BD1210" s="132"/>
      <c r="BE1210" s="132"/>
      <c r="BF1210" s="132"/>
      <c r="BG1210" s="132"/>
      <c r="BH1210" s="132"/>
      <c r="BI1210" s="132"/>
      <c r="BJ1210" s="132"/>
      <c r="BK1210" s="132"/>
      <c r="BL1210" s="132"/>
      <c r="BM1210" s="132"/>
      <c r="BN1210" s="132"/>
      <c r="BO1210" s="132"/>
    </row>
    <row r="1211" spans="1:67" s="269" customFormat="1" x14ac:dyDescent="0.2">
      <c r="A1211" s="319"/>
      <c r="B1211" s="298"/>
      <c r="C1211" s="299"/>
      <c r="D1211" s="188"/>
      <c r="E1211" s="188"/>
      <c r="F1211" s="188"/>
      <c r="G1211" s="188"/>
      <c r="H1211" s="188"/>
      <c r="I1211" s="177"/>
      <c r="J1211" s="300"/>
      <c r="K1211" s="196">
        <f>SUM(K1208:K1210)</f>
        <v>80000</v>
      </c>
      <c r="L1211" s="193"/>
      <c r="M1211" s="193"/>
      <c r="N1211" s="132"/>
      <c r="O1211" s="132"/>
      <c r="P1211" s="132"/>
      <c r="Q1211" s="132"/>
      <c r="R1211" s="132"/>
      <c r="S1211" s="132"/>
      <c r="T1211" s="132"/>
      <c r="U1211" s="132"/>
      <c r="V1211" s="132"/>
      <c r="W1211" s="132"/>
      <c r="X1211" s="132"/>
      <c r="Y1211" s="132"/>
      <c r="Z1211" s="132"/>
      <c r="AA1211" s="132"/>
      <c r="AB1211" s="132"/>
      <c r="AC1211" s="132"/>
      <c r="AD1211" s="132"/>
      <c r="AE1211" s="132"/>
      <c r="AF1211" s="132"/>
      <c r="AG1211" s="132"/>
      <c r="AH1211" s="132"/>
      <c r="AI1211" s="132"/>
      <c r="AJ1211" s="132"/>
      <c r="AK1211" s="132"/>
      <c r="AL1211" s="132"/>
      <c r="AM1211" s="132"/>
      <c r="AN1211" s="132"/>
      <c r="AO1211" s="132"/>
      <c r="AP1211" s="132"/>
      <c r="AQ1211" s="132"/>
      <c r="AR1211" s="132"/>
      <c r="AS1211" s="132"/>
      <c r="AT1211" s="132"/>
      <c r="AU1211" s="132"/>
      <c r="AV1211" s="132"/>
      <c r="AW1211" s="132"/>
      <c r="AX1211" s="132"/>
      <c r="AY1211" s="132"/>
      <c r="AZ1211" s="132"/>
      <c r="BA1211" s="132"/>
      <c r="BB1211" s="132"/>
      <c r="BC1211" s="132"/>
      <c r="BD1211" s="132"/>
      <c r="BE1211" s="132"/>
      <c r="BF1211" s="132"/>
      <c r="BG1211" s="132"/>
      <c r="BH1211" s="132"/>
      <c r="BI1211" s="132"/>
      <c r="BJ1211" s="132"/>
      <c r="BK1211" s="132"/>
      <c r="BL1211" s="132"/>
      <c r="BM1211" s="132"/>
      <c r="BN1211" s="132"/>
      <c r="BO1211" s="132"/>
    </row>
    <row r="1212" spans="1:67" s="269" customFormat="1" x14ac:dyDescent="0.2">
      <c r="A1212" s="317">
        <v>304</v>
      </c>
      <c r="B1212" s="293" t="s">
        <v>1678</v>
      </c>
      <c r="C1212" s="294"/>
      <c r="D1212" s="166" t="s">
        <v>107</v>
      </c>
      <c r="E1212" s="166"/>
      <c r="F1212" s="166"/>
      <c r="G1212" s="166"/>
      <c r="H1212" s="166"/>
      <c r="I1212" s="217" t="s">
        <v>1679</v>
      </c>
      <c r="J1212" s="267" t="s">
        <v>683</v>
      </c>
      <c r="K1212" s="268">
        <f>80000*50%</f>
        <v>40000</v>
      </c>
      <c r="L1212" s="171" t="s">
        <v>111</v>
      </c>
      <c r="M1212" s="171" t="s">
        <v>1680</v>
      </c>
      <c r="N1212" s="132"/>
      <c r="O1212" s="132"/>
      <c r="P1212" s="132"/>
      <c r="Q1212" s="132"/>
      <c r="R1212" s="132"/>
      <c r="S1212" s="132"/>
      <c r="T1212" s="132"/>
      <c r="U1212" s="132"/>
      <c r="V1212" s="132"/>
      <c r="W1212" s="132"/>
      <c r="X1212" s="132"/>
      <c r="Y1212" s="132"/>
      <c r="Z1212" s="132"/>
      <c r="AA1212" s="132"/>
      <c r="AB1212" s="132"/>
      <c r="AC1212" s="132"/>
      <c r="AD1212" s="132"/>
      <c r="AE1212" s="132"/>
      <c r="AF1212" s="132"/>
      <c r="AG1212" s="132"/>
      <c r="AH1212" s="132"/>
      <c r="AI1212" s="132"/>
      <c r="AJ1212" s="132"/>
      <c r="AK1212" s="132"/>
      <c r="AL1212" s="132"/>
      <c r="AM1212" s="132"/>
      <c r="AN1212" s="132"/>
      <c r="AO1212" s="132"/>
      <c r="AP1212" s="132"/>
      <c r="AQ1212" s="132"/>
      <c r="AR1212" s="132"/>
      <c r="AS1212" s="132"/>
      <c r="AT1212" s="132"/>
      <c r="AU1212" s="132"/>
      <c r="AV1212" s="132"/>
      <c r="AW1212" s="132"/>
      <c r="AX1212" s="132"/>
      <c r="AY1212" s="132"/>
      <c r="AZ1212" s="132"/>
      <c r="BA1212" s="132"/>
      <c r="BB1212" s="132"/>
      <c r="BC1212" s="132"/>
      <c r="BD1212" s="132"/>
      <c r="BE1212" s="132"/>
      <c r="BF1212" s="132"/>
      <c r="BG1212" s="132"/>
      <c r="BH1212" s="132"/>
      <c r="BI1212" s="132"/>
      <c r="BJ1212" s="132"/>
      <c r="BK1212" s="132"/>
      <c r="BL1212" s="132"/>
      <c r="BM1212" s="132"/>
      <c r="BN1212" s="132"/>
      <c r="BO1212" s="132"/>
    </row>
    <row r="1213" spans="1:67" s="269" customFormat="1" x14ac:dyDescent="0.2">
      <c r="A1213" s="318"/>
      <c r="B1213" s="288"/>
      <c r="C1213" s="289"/>
      <c r="D1213" s="176"/>
      <c r="E1213" s="176"/>
      <c r="F1213" s="176"/>
      <c r="G1213" s="176"/>
      <c r="H1213" s="176"/>
      <c r="I1213" s="184" t="s">
        <v>1681</v>
      </c>
      <c r="J1213" s="272" t="s">
        <v>683</v>
      </c>
      <c r="K1213" s="214">
        <f>80000*45%</f>
        <v>36000</v>
      </c>
      <c r="L1213" s="181"/>
      <c r="M1213" s="181"/>
      <c r="N1213" s="132"/>
      <c r="O1213" s="132"/>
      <c r="P1213" s="132"/>
      <c r="Q1213" s="132"/>
      <c r="R1213" s="132"/>
      <c r="S1213" s="132"/>
      <c r="T1213" s="132"/>
      <c r="U1213" s="132"/>
      <c r="V1213" s="132"/>
      <c r="W1213" s="132"/>
      <c r="X1213" s="132"/>
      <c r="Y1213" s="132"/>
      <c r="Z1213" s="132"/>
      <c r="AA1213" s="132"/>
      <c r="AB1213" s="132"/>
      <c r="AC1213" s="132"/>
      <c r="AD1213" s="132"/>
      <c r="AE1213" s="132"/>
      <c r="AF1213" s="132"/>
      <c r="AG1213" s="132"/>
      <c r="AH1213" s="132"/>
      <c r="AI1213" s="132"/>
      <c r="AJ1213" s="132"/>
      <c r="AK1213" s="132"/>
      <c r="AL1213" s="132"/>
      <c r="AM1213" s="132"/>
      <c r="AN1213" s="132"/>
      <c r="AO1213" s="132"/>
      <c r="AP1213" s="132"/>
      <c r="AQ1213" s="132"/>
      <c r="AR1213" s="132"/>
      <c r="AS1213" s="132"/>
      <c r="AT1213" s="132"/>
      <c r="AU1213" s="132"/>
      <c r="AV1213" s="132"/>
      <c r="AW1213" s="132"/>
      <c r="AX1213" s="132"/>
      <c r="AY1213" s="132"/>
      <c r="AZ1213" s="132"/>
      <c r="BA1213" s="132"/>
      <c r="BB1213" s="132"/>
      <c r="BC1213" s="132"/>
      <c r="BD1213" s="132"/>
      <c r="BE1213" s="132"/>
      <c r="BF1213" s="132"/>
      <c r="BG1213" s="132"/>
      <c r="BH1213" s="132"/>
      <c r="BI1213" s="132"/>
      <c r="BJ1213" s="132"/>
      <c r="BK1213" s="132"/>
      <c r="BL1213" s="132"/>
      <c r="BM1213" s="132"/>
      <c r="BN1213" s="132"/>
      <c r="BO1213" s="132"/>
    </row>
    <row r="1214" spans="1:67" s="269" customFormat="1" x14ac:dyDescent="0.2">
      <c r="A1214" s="318"/>
      <c r="B1214" s="288"/>
      <c r="C1214" s="289"/>
      <c r="D1214" s="176"/>
      <c r="E1214" s="176"/>
      <c r="F1214" s="176"/>
      <c r="G1214" s="176"/>
      <c r="H1214" s="176"/>
      <c r="I1214" s="184" t="s">
        <v>1682</v>
      </c>
      <c r="J1214" s="272" t="s">
        <v>683</v>
      </c>
      <c r="K1214" s="214">
        <f>80000*5%</f>
        <v>4000</v>
      </c>
      <c r="L1214" s="181"/>
      <c r="M1214" s="181"/>
      <c r="N1214" s="132"/>
      <c r="O1214" s="132"/>
      <c r="P1214" s="132"/>
      <c r="Q1214" s="132"/>
      <c r="R1214" s="132"/>
      <c r="S1214" s="132"/>
      <c r="T1214" s="132"/>
      <c r="U1214" s="132"/>
      <c r="V1214" s="132"/>
      <c r="W1214" s="132"/>
      <c r="X1214" s="132"/>
      <c r="Y1214" s="132"/>
      <c r="Z1214" s="132"/>
      <c r="AA1214" s="132"/>
      <c r="AB1214" s="132"/>
      <c r="AC1214" s="132"/>
      <c r="AD1214" s="132"/>
      <c r="AE1214" s="132"/>
      <c r="AF1214" s="132"/>
      <c r="AG1214" s="132"/>
      <c r="AH1214" s="132"/>
      <c r="AI1214" s="132"/>
      <c r="AJ1214" s="132"/>
      <c r="AK1214" s="132"/>
      <c r="AL1214" s="132"/>
      <c r="AM1214" s="132"/>
      <c r="AN1214" s="132"/>
      <c r="AO1214" s="132"/>
      <c r="AP1214" s="132"/>
      <c r="AQ1214" s="132"/>
      <c r="AR1214" s="132"/>
      <c r="AS1214" s="132"/>
      <c r="AT1214" s="132"/>
      <c r="AU1214" s="132"/>
      <c r="AV1214" s="132"/>
      <c r="AW1214" s="132"/>
      <c r="AX1214" s="132"/>
      <c r="AY1214" s="132"/>
      <c r="AZ1214" s="132"/>
      <c r="BA1214" s="132"/>
      <c r="BB1214" s="132"/>
      <c r="BC1214" s="132"/>
      <c r="BD1214" s="132"/>
      <c r="BE1214" s="132"/>
      <c r="BF1214" s="132"/>
      <c r="BG1214" s="132"/>
      <c r="BH1214" s="132"/>
      <c r="BI1214" s="132"/>
      <c r="BJ1214" s="132"/>
      <c r="BK1214" s="132"/>
      <c r="BL1214" s="132"/>
      <c r="BM1214" s="132"/>
      <c r="BN1214" s="132"/>
      <c r="BO1214" s="132"/>
    </row>
    <row r="1215" spans="1:67" s="269" customFormat="1" x14ac:dyDescent="0.2">
      <c r="A1215" s="319"/>
      <c r="B1215" s="298"/>
      <c r="C1215" s="299"/>
      <c r="D1215" s="188"/>
      <c r="E1215" s="188"/>
      <c r="F1215" s="188"/>
      <c r="G1215" s="188"/>
      <c r="H1215" s="188"/>
      <c r="I1215" s="202"/>
      <c r="J1215" s="275"/>
      <c r="K1215" s="247">
        <f>SUM(K1212:K1214)</f>
        <v>80000</v>
      </c>
      <c r="L1215" s="193"/>
      <c r="M1215" s="193"/>
      <c r="N1215" s="132"/>
      <c r="O1215" s="132"/>
      <c r="P1215" s="132"/>
      <c r="Q1215" s="132"/>
      <c r="R1215" s="132"/>
      <c r="S1215" s="132"/>
      <c r="T1215" s="132"/>
      <c r="U1215" s="132"/>
      <c r="V1215" s="132"/>
      <c r="W1215" s="132"/>
      <c r="X1215" s="132"/>
      <c r="Y1215" s="132"/>
      <c r="Z1215" s="132"/>
      <c r="AA1215" s="132"/>
      <c r="AB1215" s="132"/>
      <c r="AC1215" s="132"/>
      <c r="AD1215" s="132"/>
      <c r="AE1215" s="132"/>
      <c r="AF1215" s="132"/>
      <c r="AG1215" s="132"/>
      <c r="AH1215" s="132"/>
      <c r="AI1215" s="132"/>
      <c r="AJ1215" s="132"/>
      <c r="AK1215" s="132"/>
      <c r="AL1215" s="132"/>
      <c r="AM1215" s="132"/>
      <c r="AN1215" s="132"/>
      <c r="AO1215" s="132"/>
      <c r="AP1215" s="132"/>
      <c r="AQ1215" s="132"/>
      <c r="AR1215" s="132"/>
      <c r="AS1215" s="132"/>
      <c r="AT1215" s="132"/>
      <c r="AU1215" s="132"/>
      <c r="AV1215" s="132"/>
      <c r="AW1215" s="132"/>
      <c r="AX1215" s="132"/>
      <c r="AY1215" s="132"/>
      <c r="AZ1215" s="132"/>
      <c r="BA1215" s="132"/>
      <c r="BB1215" s="132"/>
      <c r="BC1215" s="132"/>
      <c r="BD1215" s="132"/>
      <c r="BE1215" s="132"/>
      <c r="BF1215" s="132"/>
      <c r="BG1215" s="132"/>
      <c r="BH1215" s="132"/>
      <c r="BI1215" s="132"/>
      <c r="BJ1215" s="132"/>
      <c r="BK1215" s="132"/>
      <c r="BL1215" s="132"/>
      <c r="BM1215" s="132"/>
      <c r="BN1215" s="132"/>
      <c r="BO1215" s="132"/>
    </row>
    <row r="1216" spans="1:67" s="269" customFormat="1" x14ac:dyDescent="0.2">
      <c r="A1216" s="317">
        <v>305</v>
      </c>
      <c r="B1216" s="293" t="s">
        <v>1683</v>
      </c>
      <c r="C1216" s="294"/>
      <c r="D1216" s="166" t="s">
        <v>107</v>
      </c>
      <c r="E1216" s="166"/>
      <c r="F1216" s="166"/>
      <c r="G1216" s="166"/>
      <c r="H1216" s="166"/>
      <c r="I1216" s="217" t="s">
        <v>1684</v>
      </c>
      <c r="J1216" s="267" t="s">
        <v>683</v>
      </c>
      <c r="K1216" s="268">
        <f>80000*40%</f>
        <v>32000</v>
      </c>
      <c r="L1216" s="171" t="s">
        <v>111</v>
      </c>
      <c r="M1216" s="171" t="s">
        <v>1685</v>
      </c>
      <c r="N1216" s="132"/>
      <c r="O1216" s="132"/>
      <c r="P1216" s="132"/>
      <c r="Q1216" s="132"/>
      <c r="R1216" s="132"/>
      <c r="S1216" s="132"/>
      <c r="T1216" s="132"/>
      <c r="U1216" s="132"/>
      <c r="V1216" s="132"/>
      <c r="W1216" s="132"/>
      <c r="X1216" s="132"/>
      <c r="Y1216" s="132"/>
      <c r="Z1216" s="132"/>
      <c r="AA1216" s="132"/>
      <c r="AB1216" s="132"/>
      <c r="AC1216" s="132"/>
      <c r="AD1216" s="132"/>
      <c r="AE1216" s="132"/>
      <c r="AF1216" s="132"/>
      <c r="AG1216" s="132"/>
      <c r="AH1216" s="132"/>
      <c r="AI1216" s="132"/>
      <c r="AJ1216" s="132"/>
      <c r="AK1216" s="132"/>
      <c r="AL1216" s="132"/>
      <c r="AM1216" s="132"/>
      <c r="AN1216" s="132"/>
      <c r="AO1216" s="132"/>
      <c r="AP1216" s="132"/>
      <c r="AQ1216" s="132"/>
      <c r="AR1216" s="132"/>
      <c r="AS1216" s="132"/>
      <c r="AT1216" s="132"/>
      <c r="AU1216" s="132"/>
      <c r="AV1216" s="132"/>
      <c r="AW1216" s="132"/>
      <c r="AX1216" s="132"/>
      <c r="AY1216" s="132"/>
      <c r="AZ1216" s="132"/>
      <c r="BA1216" s="132"/>
      <c r="BB1216" s="132"/>
      <c r="BC1216" s="132"/>
      <c r="BD1216" s="132"/>
      <c r="BE1216" s="132"/>
      <c r="BF1216" s="132"/>
      <c r="BG1216" s="132"/>
      <c r="BH1216" s="132"/>
      <c r="BI1216" s="132"/>
      <c r="BJ1216" s="132"/>
      <c r="BK1216" s="132"/>
      <c r="BL1216" s="132"/>
      <c r="BM1216" s="132"/>
      <c r="BN1216" s="132"/>
      <c r="BO1216" s="132"/>
    </row>
    <row r="1217" spans="1:67" s="269" customFormat="1" x14ac:dyDescent="0.2">
      <c r="A1217" s="318"/>
      <c r="B1217" s="288"/>
      <c r="C1217" s="289"/>
      <c r="D1217" s="176"/>
      <c r="E1217" s="176"/>
      <c r="F1217" s="176"/>
      <c r="G1217" s="176"/>
      <c r="H1217" s="176"/>
      <c r="I1217" s="184" t="s">
        <v>1686</v>
      </c>
      <c r="J1217" s="272" t="s">
        <v>683</v>
      </c>
      <c r="K1217" s="214">
        <f>80000*20%</f>
        <v>16000</v>
      </c>
      <c r="L1217" s="181"/>
      <c r="M1217" s="181"/>
      <c r="N1217" s="132"/>
      <c r="O1217" s="132"/>
      <c r="P1217" s="132"/>
      <c r="Q1217" s="132"/>
      <c r="R1217" s="132"/>
      <c r="S1217" s="132"/>
      <c r="T1217" s="132"/>
      <c r="U1217" s="132"/>
      <c r="V1217" s="132"/>
      <c r="W1217" s="132"/>
      <c r="X1217" s="132"/>
      <c r="Y1217" s="132"/>
      <c r="Z1217" s="132"/>
      <c r="AA1217" s="132"/>
      <c r="AB1217" s="132"/>
      <c r="AC1217" s="132"/>
      <c r="AD1217" s="132"/>
      <c r="AE1217" s="132"/>
      <c r="AF1217" s="132"/>
      <c r="AG1217" s="132"/>
      <c r="AH1217" s="132"/>
      <c r="AI1217" s="132"/>
      <c r="AJ1217" s="132"/>
      <c r="AK1217" s="132"/>
      <c r="AL1217" s="132"/>
      <c r="AM1217" s="132"/>
      <c r="AN1217" s="132"/>
      <c r="AO1217" s="132"/>
      <c r="AP1217" s="132"/>
      <c r="AQ1217" s="132"/>
      <c r="AR1217" s="132"/>
      <c r="AS1217" s="132"/>
      <c r="AT1217" s="132"/>
      <c r="AU1217" s="132"/>
      <c r="AV1217" s="132"/>
      <c r="AW1217" s="132"/>
      <c r="AX1217" s="132"/>
      <c r="AY1217" s="132"/>
      <c r="AZ1217" s="132"/>
      <c r="BA1217" s="132"/>
      <c r="BB1217" s="132"/>
      <c r="BC1217" s="132"/>
      <c r="BD1217" s="132"/>
      <c r="BE1217" s="132"/>
      <c r="BF1217" s="132"/>
      <c r="BG1217" s="132"/>
      <c r="BH1217" s="132"/>
      <c r="BI1217" s="132"/>
      <c r="BJ1217" s="132"/>
      <c r="BK1217" s="132"/>
      <c r="BL1217" s="132"/>
      <c r="BM1217" s="132"/>
      <c r="BN1217" s="132"/>
      <c r="BO1217" s="132"/>
    </row>
    <row r="1218" spans="1:67" s="269" customFormat="1" x14ac:dyDescent="0.2">
      <c r="A1218" s="318"/>
      <c r="B1218" s="288"/>
      <c r="C1218" s="289"/>
      <c r="D1218" s="176"/>
      <c r="E1218" s="176"/>
      <c r="F1218" s="176"/>
      <c r="G1218" s="176"/>
      <c r="H1218" s="176"/>
      <c r="I1218" s="184" t="s">
        <v>1687</v>
      </c>
      <c r="J1218" s="272" t="s">
        <v>683</v>
      </c>
      <c r="K1218" s="214">
        <f>80000*20%</f>
        <v>16000</v>
      </c>
      <c r="L1218" s="181"/>
      <c r="M1218" s="181"/>
      <c r="N1218" s="132"/>
      <c r="O1218" s="132"/>
      <c r="P1218" s="132"/>
      <c r="Q1218" s="132"/>
      <c r="R1218" s="132"/>
      <c r="S1218" s="132"/>
      <c r="T1218" s="132"/>
      <c r="U1218" s="132"/>
      <c r="V1218" s="132"/>
      <c r="W1218" s="132"/>
      <c r="X1218" s="132"/>
      <c r="Y1218" s="132"/>
      <c r="Z1218" s="132"/>
      <c r="AA1218" s="132"/>
      <c r="AB1218" s="132"/>
      <c r="AC1218" s="132"/>
      <c r="AD1218" s="132"/>
      <c r="AE1218" s="132"/>
      <c r="AF1218" s="132"/>
      <c r="AG1218" s="132"/>
      <c r="AH1218" s="132"/>
      <c r="AI1218" s="132"/>
      <c r="AJ1218" s="132"/>
      <c r="AK1218" s="132"/>
      <c r="AL1218" s="132"/>
      <c r="AM1218" s="132"/>
      <c r="AN1218" s="132"/>
      <c r="AO1218" s="132"/>
      <c r="AP1218" s="132"/>
      <c r="AQ1218" s="132"/>
      <c r="AR1218" s="132"/>
      <c r="AS1218" s="132"/>
      <c r="AT1218" s="132"/>
      <c r="AU1218" s="132"/>
      <c r="AV1218" s="132"/>
      <c r="AW1218" s="132"/>
      <c r="AX1218" s="132"/>
      <c r="AY1218" s="132"/>
      <c r="AZ1218" s="132"/>
      <c r="BA1218" s="132"/>
      <c r="BB1218" s="132"/>
      <c r="BC1218" s="132"/>
      <c r="BD1218" s="132"/>
      <c r="BE1218" s="132"/>
      <c r="BF1218" s="132"/>
      <c r="BG1218" s="132"/>
      <c r="BH1218" s="132"/>
      <c r="BI1218" s="132"/>
      <c r="BJ1218" s="132"/>
      <c r="BK1218" s="132"/>
      <c r="BL1218" s="132"/>
      <c r="BM1218" s="132"/>
      <c r="BN1218" s="132"/>
      <c r="BO1218" s="132"/>
    </row>
    <row r="1219" spans="1:67" s="269" customFormat="1" x14ac:dyDescent="0.2">
      <c r="A1219" s="318"/>
      <c r="B1219" s="288"/>
      <c r="C1219" s="289"/>
      <c r="D1219" s="176"/>
      <c r="E1219" s="176"/>
      <c r="F1219" s="176"/>
      <c r="G1219" s="176"/>
      <c r="H1219" s="176"/>
      <c r="I1219" s="184" t="s">
        <v>1688</v>
      </c>
      <c r="J1219" s="272" t="s">
        <v>683</v>
      </c>
      <c r="K1219" s="214">
        <f>80000*20%</f>
        <v>16000</v>
      </c>
      <c r="L1219" s="181"/>
      <c r="M1219" s="181"/>
      <c r="N1219" s="132"/>
      <c r="O1219" s="132"/>
      <c r="P1219" s="132"/>
      <c r="Q1219" s="132"/>
      <c r="R1219" s="132"/>
      <c r="S1219" s="132"/>
      <c r="T1219" s="132"/>
      <c r="U1219" s="132"/>
      <c r="V1219" s="132"/>
      <c r="W1219" s="132"/>
      <c r="X1219" s="132"/>
      <c r="Y1219" s="132"/>
      <c r="Z1219" s="132"/>
      <c r="AA1219" s="132"/>
      <c r="AB1219" s="132"/>
      <c r="AC1219" s="132"/>
      <c r="AD1219" s="132"/>
      <c r="AE1219" s="132"/>
      <c r="AF1219" s="132"/>
      <c r="AG1219" s="132"/>
      <c r="AH1219" s="132"/>
      <c r="AI1219" s="132"/>
      <c r="AJ1219" s="132"/>
      <c r="AK1219" s="132"/>
      <c r="AL1219" s="132"/>
      <c r="AM1219" s="132"/>
      <c r="AN1219" s="132"/>
      <c r="AO1219" s="132"/>
      <c r="AP1219" s="132"/>
      <c r="AQ1219" s="132"/>
      <c r="AR1219" s="132"/>
      <c r="AS1219" s="132"/>
      <c r="AT1219" s="132"/>
      <c r="AU1219" s="132"/>
      <c r="AV1219" s="132"/>
      <c r="AW1219" s="132"/>
      <c r="AX1219" s="132"/>
      <c r="AY1219" s="132"/>
      <c r="AZ1219" s="132"/>
      <c r="BA1219" s="132"/>
      <c r="BB1219" s="132"/>
      <c r="BC1219" s="132"/>
      <c r="BD1219" s="132"/>
      <c r="BE1219" s="132"/>
      <c r="BF1219" s="132"/>
      <c r="BG1219" s="132"/>
      <c r="BH1219" s="132"/>
      <c r="BI1219" s="132"/>
      <c r="BJ1219" s="132"/>
      <c r="BK1219" s="132"/>
      <c r="BL1219" s="132"/>
      <c r="BM1219" s="132"/>
      <c r="BN1219" s="132"/>
      <c r="BO1219" s="132"/>
    </row>
    <row r="1220" spans="1:67" s="269" customFormat="1" x14ac:dyDescent="0.2">
      <c r="A1220" s="319"/>
      <c r="B1220" s="298"/>
      <c r="C1220" s="299"/>
      <c r="D1220" s="188"/>
      <c r="E1220" s="188"/>
      <c r="F1220" s="188"/>
      <c r="G1220" s="188"/>
      <c r="H1220" s="188"/>
      <c r="I1220" s="202"/>
      <c r="J1220" s="275"/>
      <c r="K1220" s="247">
        <f>SUM(K1216:K1219)</f>
        <v>80000</v>
      </c>
      <c r="L1220" s="193"/>
      <c r="M1220" s="193"/>
      <c r="N1220" s="132"/>
      <c r="O1220" s="132"/>
      <c r="P1220" s="132"/>
      <c r="Q1220" s="132"/>
      <c r="R1220" s="132"/>
      <c r="S1220" s="132"/>
      <c r="T1220" s="132"/>
      <c r="U1220" s="132"/>
      <c r="V1220" s="132"/>
      <c r="W1220" s="132"/>
      <c r="X1220" s="132"/>
      <c r="Y1220" s="132"/>
      <c r="Z1220" s="132"/>
      <c r="AA1220" s="132"/>
      <c r="AB1220" s="132"/>
      <c r="AC1220" s="132"/>
      <c r="AD1220" s="132"/>
      <c r="AE1220" s="132"/>
      <c r="AF1220" s="132"/>
      <c r="AG1220" s="132"/>
      <c r="AH1220" s="132"/>
      <c r="AI1220" s="132"/>
      <c r="AJ1220" s="132"/>
      <c r="AK1220" s="132"/>
      <c r="AL1220" s="132"/>
      <c r="AM1220" s="132"/>
      <c r="AN1220" s="132"/>
      <c r="AO1220" s="132"/>
      <c r="AP1220" s="132"/>
      <c r="AQ1220" s="132"/>
      <c r="AR1220" s="132"/>
      <c r="AS1220" s="132"/>
      <c r="AT1220" s="132"/>
      <c r="AU1220" s="132"/>
      <c r="AV1220" s="132"/>
      <c r="AW1220" s="132"/>
      <c r="AX1220" s="132"/>
      <c r="AY1220" s="132"/>
      <c r="AZ1220" s="132"/>
      <c r="BA1220" s="132"/>
      <c r="BB1220" s="132"/>
      <c r="BC1220" s="132"/>
      <c r="BD1220" s="132"/>
      <c r="BE1220" s="132"/>
      <c r="BF1220" s="132"/>
      <c r="BG1220" s="132"/>
      <c r="BH1220" s="132"/>
      <c r="BI1220" s="132"/>
      <c r="BJ1220" s="132"/>
      <c r="BK1220" s="132"/>
      <c r="BL1220" s="132"/>
      <c r="BM1220" s="132"/>
      <c r="BN1220" s="132"/>
      <c r="BO1220" s="132"/>
    </row>
    <row r="1221" spans="1:67" s="269" customFormat="1" x14ac:dyDescent="0.2">
      <c r="A1221" s="317">
        <v>306</v>
      </c>
      <c r="B1221" s="293" t="s">
        <v>1689</v>
      </c>
      <c r="C1221" s="294"/>
      <c r="D1221" s="166" t="s">
        <v>107</v>
      </c>
      <c r="E1221" s="166"/>
      <c r="F1221" s="166"/>
      <c r="G1221" s="166"/>
      <c r="H1221" s="166"/>
      <c r="I1221" s="217" t="s">
        <v>1690</v>
      </c>
      <c r="J1221" s="267" t="s">
        <v>683</v>
      </c>
      <c r="K1221" s="268">
        <f>80000*85%</f>
        <v>68000</v>
      </c>
      <c r="L1221" s="171" t="s">
        <v>111</v>
      </c>
      <c r="M1221" s="171" t="s">
        <v>1691</v>
      </c>
      <c r="N1221" s="132"/>
      <c r="O1221" s="132"/>
      <c r="P1221" s="132"/>
      <c r="Q1221" s="132"/>
      <c r="R1221" s="132"/>
      <c r="S1221" s="132"/>
      <c r="T1221" s="132"/>
      <c r="U1221" s="132"/>
      <c r="V1221" s="132"/>
      <c r="W1221" s="132"/>
      <c r="X1221" s="132"/>
      <c r="Y1221" s="132"/>
      <c r="Z1221" s="132"/>
      <c r="AA1221" s="132"/>
      <c r="AB1221" s="132"/>
      <c r="AC1221" s="132"/>
      <c r="AD1221" s="132"/>
      <c r="AE1221" s="132"/>
      <c r="AF1221" s="132"/>
      <c r="AG1221" s="132"/>
      <c r="AH1221" s="132"/>
      <c r="AI1221" s="132"/>
      <c r="AJ1221" s="132"/>
      <c r="AK1221" s="132"/>
      <c r="AL1221" s="132"/>
      <c r="AM1221" s="132"/>
      <c r="AN1221" s="132"/>
      <c r="AO1221" s="132"/>
      <c r="AP1221" s="132"/>
      <c r="AQ1221" s="132"/>
      <c r="AR1221" s="132"/>
      <c r="AS1221" s="132"/>
      <c r="AT1221" s="132"/>
      <c r="AU1221" s="132"/>
      <c r="AV1221" s="132"/>
      <c r="AW1221" s="132"/>
      <c r="AX1221" s="132"/>
      <c r="AY1221" s="132"/>
      <c r="AZ1221" s="132"/>
      <c r="BA1221" s="132"/>
      <c r="BB1221" s="132"/>
      <c r="BC1221" s="132"/>
      <c r="BD1221" s="132"/>
      <c r="BE1221" s="132"/>
      <c r="BF1221" s="132"/>
      <c r="BG1221" s="132"/>
      <c r="BH1221" s="132"/>
      <c r="BI1221" s="132"/>
      <c r="BJ1221" s="132"/>
      <c r="BK1221" s="132"/>
      <c r="BL1221" s="132"/>
      <c r="BM1221" s="132"/>
      <c r="BN1221" s="132"/>
      <c r="BO1221" s="132"/>
    </row>
    <row r="1222" spans="1:67" s="269" customFormat="1" x14ac:dyDescent="0.2">
      <c r="A1222" s="318"/>
      <c r="B1222" s="288"/>
      <c r="C1222" s="289"/>
      <c r="D1222" s="176"/>
      <c r="E1222" s="176"/>
      <c r="F1222" s="176"/>
      <c r="G1222" s="176"/>
      <c r="H1222" s="176"/>
      <c r="I1222" s="184" t="s">
        <v>1517</v>
      </c>
      <c r="J1222" s="272" t="s">
        <v>683</v>
      </c>
      <c r="K1222" s="214">
        <f>80000*5%</f>
        <v>4000</v>
      </c>
      <c r="L1222" s="181"/>
      <c r="M1222" s="181"/>
      <c r="N1222" s="132"/>
      <c r="O1222" s="132"/>
      <c r="P1222" s="132"/>
      <c r="Q1222" s="132"/>
      <c r="R1222" s="132"/>
      <c r="S1222" s="132"/>
      <c r="T1222" s="132"/>
      <c r="U1222" s="132"/>
      <c r="V1222" s="132"/>
      <c r="W1222" s="132"/>
      <c r="X1222" s="132"/>
      <c r="Y1222" s="132"/>
      <c r="Z1222" s="132"/>
      <c r="AA1222" s="132"/>
      <c r="AB1222" s="132"/>
      <c r="AC1222" s="132"/>
      <c r="AD1222" s="132"/>
      <c r="AE1222" s="132"/>
      <c r="AF1222" s="132"/>
      <c r="AG1222" s="132"/>
      <c r="AH1222" s="132"/>
      <c r="AI1222" s="132"/>
      <c r="AJ1222" s="132"/>
      <c r="AK1222" s="132"/>
      <c r="AL1222" s="132"/>
      <c r="AM1222" s="132"/>
      <c r="AN1222" s="132"/>
      <c r="AO1222" s="132"/>
      <c r="AP1222" s="132"/>
      <c r="AQ1222" s="132"/>
      <c r="AR1222" s="132"/>
      <c r="AS1222" s="132"/>
      <c r="AT1222" s="132"/>
      <c r="AU1222" s="132"/>
      <c r="AV1222" s="132"/>
      <c r="AW1222" s="132"/>
      <c r="AX1222" s="132"/>
      <c r="AY1222" s="132"/>
      <c r="AZ1222" s="132"/>
      <c r="BA1222" s="132"/>
      <c r="BB1222" s="132"/>
      <c r="BC1222" s="132"/>
      <c r="BD1222" s="132"/>
      <c r="BE1222" s="132"/>
      <c r="BF1222" s="132"/>
      <c r="BG1222" s="132"/>
      <c r="BH1222" s="132"/>
      <c r="BI1222" s="132"/>
      <c r="BJ1222" s="132"/>
      <c r="BK1222" s="132"/>
      <c r="BL1222" s="132"/>
      <c r="BM1222" s="132"/>
      <c r="BN1222" s="132"/>
      <c r="BO1222" s="132"/>
    </row>
    <row r="1223" spans="1:67" s="269" customFormat="1" x14ac:dyDescent="0.2">
      <c r="A1223" s="318"/>
      <c r="B1223" s="288"/>
      <c r="C1223" s="289"/>
      <c r="D1223" s="176"/>
      <c r="E1223" s="176"/>
      <c r="F1223" s="176"/>
      <c r="G1223" s="176"/>
      <c r="H1223" s="176"/>
      <c r="I1223" s="184" t="s">
        <v>1427</v>
      </c>
      <c r="J1223" s="272" t="s">
        <v>683</v>
      </c>
      <c r="K1223" s="214">
        <f t="shared" ref="K1223:K1224" si="25">80000*5%</f>
        <v>4000</v>
      </c>
      <c r="L1223" s="181"/>
      <c r="M1223" s="181"/>
      <c r="N1223" s="132"/>
      <c r="O1223" s="132"/>
      <c r="P1223" s="132"/>
      <c r="Q1223" s="132"/>
      <c r="R1223" s="132"/>
      <c r="S1223" s="132"/>
      <c r="T1223" s="132"/>
      <c r="U1223" s="132"/>
      <c r="V1223" s="132"/>
      <c r="W1223" s="132"/>
      <c r="X1223" s="132"/>
      <c r="Y1223" s="132"/>
      <c r="Z1223" s="132"/>
      <c r="AA1223" s="132"/>
      <c r="AB1223" s="132"/>
      <c r="AC1223" s="132"/>
      <c r="AD1223" s="132"/>
      <c r="AE1223" s="132"/>
      <c r="AF1223" s="132"/>
      <c r="AG1223" s="132"/>
      <c r="AH1223" s="132"/>
      <c r="AI1223" s="132"/>
      <c r="AJ1223" s="132"/>
      <c r="AK1223" s="132"/>
      <c r="AL1223" s="132"/>
      <c r="AM1223" s="132"/>
      <c r="AN1223" s="132"/>
      <c r="AO1223" s="132"/>
      <c r="AP1223" s="132"/>
      <c r="AQ1223" s="132"/>
      <c r="AR1223" s="132"/>
      <c r="AS1223" s="132"/>
      <c r="AT1223" s="132"/>
      <c r="AU1223" s="132"/>
      <c r="AV1223" s="132"/>
      <c r="AW1223" s="132"/>
      <c r="AX1223" s="132"/>
      <c r="AY1223" s="132"/>
      <c r="AZ1223" s="132"/>
      <c r="BA1223" s="132"/>
      <c r="BB1223" s="132"/>
      <c r="BC1223" s="132"/>
      <c r="BD1223" s="132"/>
      <c r="BE1223" s="132"/>
      <c r="BF1223" s="132"/>
      <c r="BG1223" s="132"/>
      <c r="BH1223" s="132"/>
      <c r="BI1223" s="132"/>
      <c r="BJ1223" s="132"/>
      <c r="BK1223" s="132"/>
      <c r="BL1223" s="132"/>
      <c r="BM1223" s="132"/>
      <c r="BN1223" s="132"/>
      <c r="BO1223" s="132"/>
    </row>
    <row r="1224" spans="1:67" s="269" customFormat="1" x14ac:dyDescent="0.2">
      <c r="A1224" s="318"/>
      <c r="B1224" s="288"/>
      <c r="C1224" s="289"/>
      <c r="D1224" s="176"/>
      <c r="E1224" s="176"/>
      <c r="F1224" s="176"/>
      <c r="G1224" s="176"/>
      <c r="H1224" s="176"/>
      <c r="I1224" s="184" t="s">
        <v>1692</v>
      </c>
      <c r="J1224" s="272" t="s">
        <v>683</v>
      </c>
      <c r="K1224" s="214">
        <f t="shared" si="25"/>
        <v>4000</v>
      </c>
      <c r="L1224" s="181"/>
      <c r="M1224" s="181"/>
      <c r="N1224" s="132"/>
      <c r="O1224" s="132"/>
      <c r="P1224" s="132"/>
      <c r="Q1224" s="132"/>
      <c r="R1224" s="132"/>
      <c r="S1224" s="132"/>
      <c r="T1224" s="132"/>
      <c r="U1224" s="132"/>
      <c r="V1224" s="132"/>
      <c r="W1224" s="132"/>
      <c r="X1224" s="132"/>
      <c r="Y1224" s="132"/>
      <c r="Z1224" s="132"/>
      <c r="AA1224" s="132"/>
      <c r="AB1224" s="132"/>
      <c r="AC1224" s="132"/>
      <c r="AD1224" s="132"/>
      <c r="AE1224" s="132"/>
      <c r="AF1224" s="132"/>
      <c r="AG1224" s="132"/>
      <c r="AH1224" s="132"/>
      <c r="AI1224" s="132"/>
      <c r="AJ1224" s="132"/>
      <c r="AK1224" s="132"/>
      <c r="AL1224" s="132"/>
      <c r="AM1224" s="132"/>
      <c r="AN1224" s="132"/>
      <c r="AO1224" s="132"/>
      <c r="AP1224" s="132"/>
      <c r="AQ1224" s="132"/>
      <c r="AR1224" s="132"/>
      <c r="AS1224" s="132"/>
      <c r="AT1224" s="132"/>
      <c r="AU1224" s="132"/>
      <c r="AV1224" s="132"/>
      <c r="AW1224" s="132"/>
      <c r="AX1224" s="132"/>
      <c r="AY1224" s="132"/>
      <c r="AZ1224" s="132"/>
      <c r="BA1224" s="132"/>
      <c r="BB1224" s="132"/>
      <c r="BC1224" s="132"/>
      <c r="BD1224" s="132"/>
      <c r="BE1224" s="132"/>
      <c r="BF1224" s="132"/>
      <c r="BG1224" s="132"/>
      <c r="BH1224" s="132"/>
      <c r="BI1224" s="132"/>
      <c r="BJ1224" s="132"/>
      <c r="BK1224" s="132"/>
      <c r="BL1224" s="132"/>
      <c r="BM1224" s="132"/>
      <c r="BN1224" s="132"/>
      <c r="BO1224" s="132"/>
    </row>
    <row r="1225" spans="1:67" s="269" customFormat="1" x14ac:dyDescent="0.2">
      <c r="A1225" s="319"/>
      <c r="B1225" s="298"/>
      <c r="C1225" s="299"/>
      <c r="D1225" s="188"/>
      <c r="E1225" s="188"/>
      <c r="F1225" s="188"/>
      <c r="G1225" s="188"/>
      <c r="H1225" s="188"/>
      <c r="I1225" s="202"/>
      <c r="J1225" s="275"/>
      <c r="K1225" s="247">
        <f>SUM(K1221:K1224)</f>
        <v>80000</v>
      </c>
      <c r="L1225" s="193"/>
      <c r="M1225" s="193"/>
      <c r="N1225" s="132"/>
      <c r="O1225" s="132"/>
      <c r="P1225" s="132"/>
      <c r="Q1225" s="132"/>
      <c r="R1225" s="132"/>
      <c r="S1225" s="132"/>
      <c r="T1225" s="132"/>
      <c r="U1225" s="132"/>
      <c r="V1225" s="132"/>
      <c r="W1225" s="132"/>
      <c r="X1225" s="132"/>
      <c r="Y1225" s="132"/>
      <c r="Z1225" s="132"/>
      <c r="AA1225" s="132"/>
      <c r="AB1225" s="132"/>
      <c r="AC1225" s="132"/>
      <c r="AD1225" s="132"/>
      <c r="AE1225" s="132"/>
      <c r="AF1225" s="132"/>
      <c r="AG1225" s="132"/>
      <c r="AH1225" s="132"/>
      <c r="AI1225" s="132"/>
      <c r="AJ1225" s="132"/>
      <c r="AK1225" s="132"/>
      <c r="AL1225" s="132"/>
      <c r="AM1225" s="132"/>
      <c r="AN1225" s="132"/>
      <c r="AO1225" s="132"/>
      <c r="AP1225" s="132"/>
      <c r="AQ1225" s="132"/>
      <c r="AR1225" s="132"/>
      <c r="AS1225" s="132"/>
      <c r="AT1225" s="132"/>
      <c r="AU1225" s="132"/>
      <c r="AV1225" s="132"/>
      <c r="AW1225" s="132"/>
      <c r="AX1225" s="132"/>
      <c r="AY1225" s="132"/>
      <c r="AZ1225" s="132"/>
      <c r="BA1225" s="132"/>
      <c r="BB1225" s="132"/>
      <c r="BC1225" s="132"/>
      <c r="BD1225" s="132"/>
      <c r="BE1225" s="132"/>
      <c r="BF1225" s="132"/>
      <c r="BG1225" s="132"/>
      <c r="BH1225" s="132"/>
      <c r="BI1225" s="132"/>
      <c r="BJ1225" s="132"/>
      <c r="BK1225" s="132"/>
      <c r="BL1225" s="132"/>
      <c r="BM1225" s="132"/>
      <c r="BN1225" s="132"/>
      <c r="BO1225" s="132"/>
    </row>
    <row r="1226" spans="1:67" s="285" customFormat="1" x14ac:dyDescent="0.2">
      <c r="A1226" s="317">
        <v>307</v>
      </c>
      <c r="B1226" s="293" t="s">
        <v>1693</v>
      </c>
      <c r="C1226" s="294"/>
      <c r="D1226" s="166" t="s">
        <v>25</v>
      </c>
      <c r="E1226" s="166"/>
      <c r="F1226" s="166"/>
      <c r="G1226" s="166" t="s">
        <v>1694</v>
      </c>
      <c r="H1226" s="166"/>
      <c r="I1226" s="217" t="s">
        <v>1695</v>
      </c>
      <c r="J1226" s="353" t="s">
        <v>683</v>
      </c>
      <c r="K1226" s="375">
        <f>5000000*56%</f>
        <v>2800000.0000000005</v>
      </c>
      <c r="L1226" s="171" t="s">
        <v>1694</v>
      </c>
      <c r="M1226" s="171" t="s">
        <v>1696</v>
      </c>
      <c r="N1226" s="132"/>
      <c r="O1226" s="132"/>
      <c r="P1226" s="132"/>
      <c r="Q1226" s="132"/>
      <c r="R1226" s="132"/>
      <c r="S1226" s="132"/>
      <c r="T1226" s="132"/>
      <c r="U1226" s="132"/>
      <c r="V1226" s="132"/>
      <c r="W1226" s="132"/>
      <c r="X1226" s="132"/>
      <c r="Y1226" s="132"/>
      <c r="Z1226" s="132"/>
      <c r="AA1226" s="132"/>
      <c r="AB1226" s="132"/>
      <c r="AC1226" s="132"/>
      <c r="AD1226" s="132"/>
      <c r="AE1226" s="132"/>
      <c r="AF1226" s="132"/>
      <c r="AG1226" s="132"/>
      <c r="AH1226" s="132"/>
      <c r="AI1226" s="132"/>
      <c r="AJ1226" s="132"/>
      <c r="AK1226" s="132"/>
      <c r="AL1226" s="132"/>
      <c r="AM1226" s="132"/>
      <c r="AN1226" s="132"/>
      <c r="AO1226" s="132"/>
      <c r="AP1226" s="132"/>
      <c r="AQ1226" s="132"/>
      <c r="AR1226" s="132"/>
      <c r="AS1226" s="132"/>
      <c r="AT1226" s="132"/>
      <c r="AU1226" s="132"/>
      <c r="AV1226" s="132"/>
      <c r="AW1226" s="132"/>
      <c r="AX1226" s="132"/>
      <c r="AY1226" s="132"/>
      <c r="AZ1226" s="132"/>
      <c r="BA1226" s="132"/>
      <c r="BB1226" s="132"/>
      <c r="BC1226" s="132"/>
      <c r="BD1226" s="132"/>
      <c r="BE1226" s="132"/>
      <c r="BF1226" s="132"/>
      <c r="BG1226" s="132"/>
      <c r="BH1226" s="132"/>
      <c r="BI1226" s="132"/>
      <c r="BJ1226" s="132"/>
      <c r="BK1226" s="132"/>
      <c r="BL1226" s="132"/>
      <c r="BM1226" s="132"/>
      <c r="BN1226" s="132"/>
      <c r="BO1226" s="132"/>
    </row>
    <row r="1227" spans="1:67" s="285" customFormat="1" x14ac:dyDescent="0.2">
      <c r="A1227" s="318"/>
      <c r="B1227" s="288"/>
      <c r="C1227" s="289"/>
      <c r="D1227" s="176"/>
      <c r="E1227" s="176"/>
      <c r="F1227" s="176"/>
      <c r="G1227" s="176"/>
      <c r="H1227" s="176"/>
      <c r="I1227" s="184" t="s">
        <v>1697</v>
      </c>
      <c r="J1227" s="207" t="s">
        <v>683</v>
      </c>
      <c r="K1227" s="196">
        <f>5000000*20%</f>
        <v>1000000</v>
      </c>
      <c r="L1227" s="181"/>
      <c r="M1227" s="181"/>
      <c r="N1227" s="172"/>
      <c r="O1227" s="132"/>
      <c r="P1227" s="132"/>
      <c r="Q1227" s="132"/>
      <c r="R1227" s="132"/>
      <c r="S1227" s="132"/>
      <c r="T1227" s="132"/>
      <c r="U1227" s="132"/>
      <c r="V1227" s="132"/>
      <c r="W1227" s="132"/>
      <c r="X1227" s="132"/>
      <c r="Y1227" s="132"/>
      <c r="Z1227" s="132"/>
      <c r="AA1227" s="132"/>
      <c r="AB1227" s="132"/>
      <c r="AC1227" s="132"/>
      <c r="AD1227" s="132"/>
      <c r="AE1227" s="132"/>
      <c r="AF1227" s="132"/>
      <c r="AG1227" s="132"/>
      <c r="AH1227" s="132"/>
      <c r="AI1227" s="132"/>
      <c r="AJ1227" s="132"/>
      <c r="AK1227" s="132"/>
      <c r="AL1227" s="132"/>
      <c r="AM1227" s="132"/>
      <c r="AN1227" s="132"/>
      <c r="AO1227" s="132"/>
      <c r="AP1227" s="132"/>
      <c r="AQ1227" s="132"/>
      <c r="AR1227" s="132"/>
      <c r="AS1227" s="132"/>
      <c r="AT1227" s="132"/>
      <c r="AU1227" s="132"/>
      <c r="AV1227" s="132"/>
      <c r="AW1227" s="132"/>
      <c r="AX1227" s="132"/>
      <c r="AY1227" s="132"/>
      <c r="AZ1227" s="132"/>
      <c r="BA1227" s="132"/>
      <c r="BB1227" s="132"/>
      <c r="BC1227" s="132"/>
      <c r="BD1227" s="132"/>
      <c r="BE1227" s="132"/>
      <c r="BF1227" s="132"/>
      <c r="BG1227" s="132"/>
      <c r="BH1227" s="132"/>
      <c r="BI1227" s="132"/>
      <c r="BJ1227" s="132"/>
      <c r="BK1227" s="132"/>
      <c r="BL1227" s="132"/>
      <c r="BM1227" s="132"/>
      <c r="BN1227" s="132"/>
      <c r="BO1227" s="132"/>
    </row>
    <row r="1228" spans="1:67" s="285" customFormat="1" x14ac:dyDescent="0.2">
      <c r="A1228" s="318"/>
      <c r="B1228" s="288"/>
      <c r="C1228" s="289"/>
      <c r="D1228" s="176"/>
      <c r="E1228" s="176"/>
      <c r="F1228" s="176"/>
      <c r="G1228" s="176"/>
      <c r="H1228" s="176"/>
      <c r="I1228" s="184" t="s">
        <v>1698</v>
      </c>
      <c r="J1228" s="207" t="s">
        <v>304</v>
      </c>
      <c r="K1228" s="214">
        <f>5000000*12%</f>
        <v>600000</v>
      </c>
      <c r="L1228" s="181"/>
      <c r="M1228" s="181"/>
      <c r="N1228" s="132"/>
      <c r="O1228" s="132"/>
      <c r="P1228" s="132"/>
      <c r="Q1228" s="132"/>
      <c r="R1228" s="132"/>
      <c r="S1228" s="132"/>
      <c r="T1228" s="132"/>
      <c r="U1228" s="132"/>
      <c r="V1228" s="132"/>
      <c r="W1228" s="132"/>
      <c r="X1228" s="132"/>
      <c r="Y1228" s="132"/>
      <c r="Z1228" s="132"/>
      <c r="AA1228" s="132"/>
      <c r="AB1228" s="132"/>
      <c r="AC1228" s="132"/>
      <c r="AD1228" s="132"/>
      <c r="AE1228" s="132"/>
      <c r="AF1228" s="132"/>
      <c r="AG1228" s="132"/>
      <c r="AH1228" s="132"/>
      <c r="AI1228" s="132"/>
      <c r="AJ1228" s="132"/>
      <c r="AK1228" s="132"/>
      <c r="AL1228" s="132"/>
      <c r="AM1228" s="132"/>
      <c r="AN1228" s="132"/>
      <c r="AO1228" s="132"/>
      <c r="AP1228" s="132"/>
      <c r="AQ1228" s="132"/>
      <c r="AR1228" s="132"/>
      <c r="AS1228" s="132"/>
      <c r="AT1228" s="132"/>
      <c r="AU1228" s="132"/>
      <c r="AV1228" s="132"/>
      <c r="AW1228" s="132"/>
      <c r="AX1228" s="132"/>
      <c r="AY1228" s="132"/>
      <c r="AZ1228" s="132"/>
      <c r="BA1228" s="132"/>
      <c r="BB1228" s="132"/>
      <c r="BC1228" s="132"/>
      <c r="BD1228" s="132"/>
      <c r="BE1228" s="132"/>
      <c r="BF1228" s="132"/>
      <c r="BG1228" s="132"/>
      <c r="BH1228" s="132"/>
      <c r="BI1228" s="132"/>
      <c r="BJ1228" s="132"/>
      <c r="BK1228" s="132"/>
      <c r="BL1228" s="132"/>
      <c r="BM1228" s="132"/>
      <c r="BN1228" s="132"/>
      <c r="BO1228" s="132"/>
    </row>
    <row r="1229" spans="1:67" s="285" customFormat="1" x14ac:dyDescent="0.2">
      <c r="A1229" s="318"/>
      <c r="B1229" s="288"/>
      <c r="C1229" s="289"/>
      <c r="D1229" s="176"/>
      <c r="E1229" s="176"/>
      <c r="F1229" s="176"/>
      <c r="G1229" s="176"/>
      <c r="H1229" s="176"/>
      <c r="I1229" s="184" t="s">
        <v>1699</v>
      </c>
      <c r="J1229" s="207" t="s">
        <v>683</v>
      </c>
      <c r="K1229" s="214">
        <f>5000000*12%</f>
        <v>600000</v>
      </c>
      <c r="L1229" s="181"/>
      <c r="M1229" s="181"/>
      <c r="N1229" s="132"/>
      <c r="O1229" s="132"/>
      <c r="P1229" s="132"/>
      <c r="Q1229" s="132"/>
      <c r="R1229" s="132"/>
      <c r="S1229" s="132"/>
      <c r="T1229" s="132"/>
      <c r="U1229" s="132"/>
      <c r="V1229" s="132"/>
      <c r="W1229" s="132"/>
      <c r="X1229" s="132"/>
      <c r="Y1229" s="132"/>
      <c r="Z1229" s="132"/>
      <c r="AA1229" s="132"/>
      <c r="AB1229" s="132"/>
      <c r="AC1229" s="132"/>
      <c r="AD1229" s="132"/>
      <c r="AE1229" s="132"/>
      <c r="AF1229" s="132"/>
      <c r="AG1229" s="132"/>
      <c r="AH1229" s="132"/>
      <c r="AI1229" s="132"/>
      <c r="AJ1229" s="132"/>
      <c r="AK1229" s="132"/>
      <c r="AL1229" s="132"/>
      <c r="AM1229" s="132"/>
      <c r="AN1229" s="132"/>
      <c r="AO1229" s="132"/>
      <c r="AP1229" s="132"/>
      <c r="AQ1229" s="132"/>
      <c r="AR1229" s="132"/>
      <c r="AS1229" s="132"/>
      <c r="AT1229" s="132"/>
      <c r="AU1229" s="132"/>
      <c r="AV1229" s="132"/>
      <c r="AW1229" s="132"/>
      <c r="AX1229" s="132"/>
      <c r="AY1229" s="132"/>
      <c r="AZ1229" s="132"/>
      <c r="BA1229" s="132"/>
      <c r="BB1229" s="132"/>
      <c r="BC1229" s="132"/>
      <c r="BD1229" s="132"/>
      <c r="BE1229" s="132"/>
      <c r="BF1229" s="132"/>
      <c r="BG1229" s="132"/>
      <c r="BH1229" s="132"/>
      <c r="BI1229" s="132"/>
      <c r="BJ1229" s="132"/>
      <c r="BK1229" s="132"/>
      <c r="BL1229" s="132"/>
      <c r="BM1229" s="132"/>
      <c r="BN1229" s="132"/>
      <c r="BO1229" s="132"/>
    </row>
    <row r="1230" spans="1:67" s="285" customFormat="1" x14ac:dyDescent="0.2">
      <c r="A1230" s="318"/>
      <c r="B1230" s="288"/>
      <c r="C1230" s="289"/>
      <c r="D1230" s="176"/>
      <c r="E1230" s="176"/>
      <c r="F1230" s="176"/>
      <c r="G1230" s="176"/>
      <c r="H1230" s="176"/>
      <c r="I1230" s="189"/>
      <c r="J1230" s="215"/>
      <c r="K1230" s="292">
        <f>SUM(K1226:K1229)</f>
        <v>5000000</v>
      </c>
      <c r="L1230" s="193"/>
      <c r="M1230" s="193"/>
      <c r="N1230" s="132"/>
      <c r="O1230" s="132"/>
      <c r="P1230" s="132"/>
      <c r="Q1230" s="132"/>
      <c r="R1230" s="132"/>
      <c r="S1230" s="132"/>
      <c r="T1230" s="132"/>
      <c r="U1230" s="132"/>
      <c r="V1230" s="132"/>
      <c r="W1230" s="132"/>
      <c r="X1230" s="132"/>
      <c r="Y1230" s="132"/>
      <c r="Z1230" s="132"/>
      <c r="AA1230" s="132"/>
      <c r="AB1230" s="132"/>
      <c r="AC1230" s="132"/>
      <c r="AD1230" s="132"/>
      <c r="AE1230" s="132"/>
      <c r="AF1230" s="132"/>
      <c r="AG1230" s="132"/>
      <c r="AH1230" s="132"/>
      <c r="AI1230" s="132"/>
      <c r="AJ1230" s="132"/>
      <c r="AK1230" s="132"/>
      <c r="AL1230" s="132"/>
      <c r="AM1230" s="132"/>
      <c r="AN1230" s="132"/>
      <c r="AO1230" s="132"/>
      <c r="AP1230" s="132"/>
      <c r="AQ1230" s="132"/>
      <c r="AR1230" s="132"/>
      <c r="AS1230" s="132"/>
      <c r="AT1230" s="132"/>
      <c r="AU1230" s="132"/>
      <c r="AV1230" s="132"/>
      <c r="AW1230" s="132"/>
      <c r="AX1230" s="132"/>
      <c r="AY1230" s="132"/>
      <c r="AZ1230" s="132"/>
      <c r="BA1230" s="132"/>
      <c r="BB1230" s="132"/>
      <c r="BC1230" s="132"/>
      <c r="BD1230" s="132"/>
      <c r="BE1230" s="132"/>
      <c r="BF1230" s="132"/>
      <c r="BG1230" s="132"/>
      <c r="BH1230" s="132"/>
      <c r="BI1230" s="132"/>
      <c r="BJ1230" s="132"/>
      <c r="BK1230" s="132"/>
      <c r="BL1230" s="132"/>
      <c r="BM1230" s="132"/>
      <c r="BN1230" s="132"/>
      <c r="BO1230" s="132"/>
    </row>
    <row r="1231" spans="1:67" s="285" customFormat="1" ht="24.75" customHeight="1" x14ac:dyDescent="0.2">
      <c r="A1231" s="317">
        <v>308</v>
      </c>
      <c r="B1231" s="286" t="s">
        <v>1700</v>
      </c>
      <c r="C1231" s="287"/>
      <c r="D1231" s="166" t="s">
        <v>25</v>
      </c>
      <c r="E1231" s="443"/>
      <c r="F1231" s="443"/>
      <c r="G1231" s="443" t="s">
        <v>1694</v>
      </c>
      <c r="H1231" s="443"/>
      <c r="I1231" s="276" t="s">
        <v>1701</v>
      </c>
      <c r="J1231" s="168" t="s">
        <v>683</v>
      </c>
      <c r="K1231" s="382">
        <f>4000000*65%</f>
        <v>2600000</v>
      </c>
      <c r="L1231" s="171" t="s">
        <v>1702</v>
      </c>
      <c r="M1231" s="261" t="s">
        <v>1703</v>
      </c>
      <c r="N1231" s="132"/>
      <c r="O1231" s="132"/>
      <c r="P1231" s="132"/>
      <c r="Q1231" s="132"/>
      <c r="R1231" s="132"/>
      <c r="S1231" s="132"/>
      <c r="T1231" s="132"/>
      <c r="U1231" s="132"/>
      <c r="V1231" s="132"/>
      <c r="W1231" s="132"/>
      <c r="X1231" s="132"/>
      <c r="Y1231" s="132"/>
      <c r="Z1231" s="132"/>
      <c r="AA1231" s="132"/>
      <c r="AB1231" s="132"/>
      <c r="AC1231" s="132"/>
      <c r="AD1231" s="132"/>
      <c r="AE1231" s="132"/>
      <c r="AF1231" s="132"/>
      <c r="AG1231" s="132"/>
      <c r="AH1231" s="132"/>
      <c r="AI1231" s="132"/>
      <c r="AJ1231" s="132"/>
      <c r="AK1231" s="132"/>
      <c r="AL1231" s="132"/>
      <c r="AM1231" s="132"/>
      <c r="AN1231" s="132"/>
      <c r="AO1231" s="132"/>
      <c r="AP1231" s="132"/>
      <c r="AQ1231" s="132"/>
      <c r="AR1231" s="132"/>
      <c r="AS1231" s="132"/>
      <c r="AT1231" s="132"/>
      <c r="AU1231" s="132"/>
      <c r="AV1231" s="132"/>
      <c r="AW1231" s="132"/>
      <c r="AX1231" s="132"/>
      <c r="AY1231" s="132"/>
      <c r="AZ1231" s="132"/>
      <c r="BA1231" s="132"/>
      <c r="BB1231" s="132"/>
      <c r="BC1231" s="132"/>
      <c r="BD1231" s="132"/>
      <c r="BE1231" s="132"/>
      <c r="BF1231" s="132"/>
      <c r="BG1231" s="132"/>
      <c r="BH1231" s="132"/>
      <c r="BI1231" s="132"/>
      <c r="BJ1231" s="132"/>
      <c r="BK1231" s="132"/>
      <c r="BL1231" s="132"/>
      <c r="BM1231" s="132"/>
      <c r="BN1231" s="132"/>
      <c r="BO1231" s="132"/>
    </row>
    <row r="1232" spans="1:67" s="285" customFormat="1" x14ac:dyDescent="0.2">
      <c r="A1232" s="318"/>
      <c r="B1232" s="288"/>
      <c r="C1232" s="289"/>
      <c r="D1232" s="176"/>
      <c r="E1232" s="176"/>
      <c r="F1232" s="176"/>
      <c r="G1232" s="176"/>
      <c r="H1232" s="176"/>
      <c r="I1232" s="167" t="s">
        <v>1533</v>
      </c>
      <c r="J1232" s="207" t="s">
        <v>683</v>
      </c>
      <c r="K1232" s="214">
        <f>4000000*5%</f>
        <v>200000</v>
      </c>
      <c r="L1232" s="181"/>
      <c r="M1232" s="167"/>
      <c r="N1232" s="132"/>
      <c r="O1232" s="132"/>
      <c r="P1232" s="132"/>
      <c r="Q1232" s="132"/>
      <c r="R1232" s="132"/>
      <c r="S1232" s="132"/>
      <c r="T1232" s="132"/>
      <c r="U1232" s="132"/>
      <c r="V1232" s="132"/>
      <c r="W1232" s="132"/>
      <c r="X1232" s="132"/>
      <c r="Y1232" s="132"/>
      <c r="Z1232" s="132"/>
      <c r="AA1232" s="132"/>
      <c r="AB1232" s="132"/>
      <c r="AC1232" s="132"/>
      <c r="AD1232" s="132"/>
      <c r="AE1232" s="132"/>
      <c r="AF1232" s="132"/>
      <c r="AG1232" s="132"/>
      <c r="AH1232" s="132"/>
      <c r="AI1232" s="132"/>
      <c r="AJ1232" s="132"/>
      <c r="AK1232" s="132"/>
      <c r="AL1232" s="132"/>
      <c r="AM1232" s="132"/>
      <c r="AN1232" s="132"/>
      <c r="AO1232" s="132"/>
      <c r="AP1232" s="132"/>
      <c r="AQ1232" s="132"/>
      <c r="AR1232" s="132"/>
      <c r="AS1232" s="132"/>
      <c r="AT1232" s="132"/>
      <c r="AU1232" s="132"/>
      <c r="AV1232" s="132"/>
      <c r="AW1232" s="132"/>
      <c r="AX1232" s="132"/>
      <c r="AY1232" s="132"/>
      <c r="AZ1232" s="132"/>
      <c r="BA1232" s="132"/>
      <c r="BB1232" s="132"/>
      <c r="BC1232" s="132"/>
      <c r="BD1232" s="132"/>
      <c r="BE1232" s="132"/>
      <c r="BF1232" s="132"/>
      <c r="BG1232" s="132"/>
      <c r="BH1232" s="132"/>
      <c r="BI1232" s="132"/>
      <c r="BJ1232" s="132"/>
      <c r="BK1232" s="132"/>
      <c r="BL1232" s="132"/>
      <c r="BM1232" s="132"/>
      <c r="BN1232" s="132"/>
      <c r="BO1232" s="132"/>
    </row>
    <row r="1233" spans="1:67" s="285" customFormat="1" x14ac:dyDescent="0.2">
      <c r="A1233" s="318"/>
      <c r="B1233" s="288"/>
      <c r="C1233" s="289"/>
      <c r="D1233" s="176"/>
      <c r="E1233" s="176"/>
      <c r="F1233" s="176"/>
      <c r="G1233" s="176"/>
      <c r="H1233" s="176"/>
      <c r="I1233" s="184" t="s">
        <v>1605</v>
      </c>
      <c r="J1233" s="168" t="s">
        <v>683</v>
      </c>
      <c r="K1233" s="214">
        <f t="shared" ref="K1233:K1238" si="26">4000000*5%</f>
        <v>200000</v>
      </c>
      <c r="L1233" s="181"/>
      <c r="M1233" s="167"/>
      <c r="N1233" s="132"/>
      <c r="O1233" s="132"/>
      <c r="P1233" s="132"/>
      <c r="Q1233" s="132"/>
      <c r="R1233" s="132"/>
      <c r="S1233" s="132"/>
      <c r="T1233" s="132"/>
      <c r="U1233" s="132"/>
      <c r="V1233" s="132"/>
      <c r="W1233" s="132"/>
      <c r="X1233" s="132"/>
      <c r="Y1233" s="132"/>
      <c r="Z1233" s="132"/>
      <c r="AA1233" s="132"/>
      <c r="AB1233" s="132"/>
      <c r="AC1233" s="132"/>
      <c r="AD1233" s="132"/>
      <c r="AE1233" s="132"/>
      <c r="AF1233" s="132"/>
      <c r="AG1233" s="132"/>
      <c r="AH1233" s="132"/>
      <c r="AI1233" s="132"/>
      <c r="AJ1233" s="132"/>
      <c r="AK1233" s="132"/>
      <c r="AL1233" s="132"/>
      <c r="AM1233" s="132"/>
      <c r="AN1233" s="132"/>
      <c r="AO1233" s="132"/>
      <c r="AP1233" s="132"/>
      <c r="AQ1233" s="132"/>
      <c r="AR1233" s="132"/>
      <c r="AS1233" s="132"/>
      <c r="AT1233" s="132"/>
      <c r="AU1233" s="132"/>
      <c r="AV1233" s="132"/>
      <c r="AW1233" s="132"/>
      <c r="AX1233" s="132"/>
      <c r="AY1233" s="132"/>
      <c r="AZ1233" s="132"/>
      <c r="BA1233" s="132"/>
      <c r="BB1233" s="132"/>
      <c r="BC1233" s="132"/>
      <c r="BD1233" s="132"/>
      <c r="BE1233" s="132"/>
      <c r="BF1233" s="132"/>
      <c r="BG1233" s="132"/>
      <c r="BH1233" s="132"/>
      <c r="BI1233" s="132"/>
      <c r="BJ1233" s="132"/>
      <c r="BK1233" s="132"/>
      <c r="BL1233" s="132"/>
      <c r="BM1233" s="132"/>
      <c r="BN1233" s="132"/>
      <c r="BO1233" s="132"/>
    </row>
    <row r="1234" spans="1:67" s="285" customFormat="1" ht="32.25" customHeight="1" x14ac:dyDescent="0.2">
      <c r="A1234" s="318"/>
      <c r="B1234" s="288"/>
      <c r="C1234" s="289"/>
      <c r="D1234" s="176"/>
      <c r="E1234" s="176"/>
      <c r="F1234" s="176"/>
      <c r="G1234" s="176"/>
      <c r="H1234" s="176"/>
      <c r="I1234" s="167" t="s">
        <v>1013</v>
      </c>
      <c r="J1234" s="207" t="s">
        <v>683</v>
      </c>
      <c r="K1234" s="214">
        <f t="shared" si="26"/>
        <v>200000</v>
      </c>
      <c r="L1234" s="181"/>
      <c r="M1234" s="167"/>
      <c r="N1234" s="132"/>
      <c r="O1234" s="132"/>
      <c r="P1234" s="132"/>
      <c r="Q1234" s="132"/>
      <c r="R1234" s="132"/>
      <c r="S1234" s="132"/>
      <c r="T1234" s="132"/>
      <c r="U1234" s="132"/>
      <c r="V1234" s="132"/>
      <c r="W1234" s="132"/>
      <c r="X1234" s="132"/>
      <c r="Y1234" s="132"/>
      <c r="Z1234" s="132"/>
      <c r="AA1234" s="132"/>
      <c r="AB1234" s="132"/>
      <c r="AC1234" s="132"/>
      <c r="AD1234" s="132"/>
      <c r="AE1234" s="132"/>
      <c r="AF1234" s="132"/>
      <c r="AG1234" s="132"/>
      <c r="AH1234" s="132"/>
      <c r="AI1234" s="132"/>
      <c r="AJ1234" s="132"/>
      <c r="AK1234" s="132"/>
      <c r="AL1234" s="132"/>
      <c r="AM1234" s="132"/>
      <c r="AN1234" s="132"/>
      <c r="AO1234" s="132"/>
      <c r="AP1234" s="132"/>
      <c r="AQ1234" s="132"/>
      <c r="AR1234" s="132"/>
      <c r="AS1234" s="132"/>
      <c r="AT1234" s="132"/>
      <c r="AU1234" s="132"/>
      <c r="AV1234" s="132"/>
      <c r="AW1234" s="132"/>
      <c r="AX1234" s="132"/>
      <c r="AY1234" s="132"/>
      <c r="AZ1234" s="132"/>
      <c r="BA1234" s="132"/>
      <c r="BB1234" s="132"/>
      <c r="BC1234" s="132"/>
      <c r="BD1234" s="132"/>
      <c r="BE1234" s="132"/>
      <c r="BF1234" s="132"/>
      <c r="BG1234" s="132"/>
      <c r="BH1234" s="132"/>
      <c r="BI1234" s="132"/>
      <c r="BJ1234" s="132"/>
      <c r="BK1234" s="132"/>
      <c r="BL1234" s="132"/>
      <c r="BM1234" s="132"/>
      <c r="BN1234" s="132"/>
      <c r="BO1234" s="132"/>
    </row>
    <row r="1235" spans="1:67" s="285" customFormat="1" x14ac:dyDescent="0.2">
      <c r="A1235" s="318"/>
      <c r="B1235" s="288"/>
      <c r="C1235" s="289"/>
      <c r="D1235" s="176"/>
      <c r="E1235" s="176"/>
      <c r="F1235" s="176"/>
      <c r="G1235" s="176"/>
      <c r="H1235" s="176"/>
      <c r="I1235" s="184" t="s">
        <v>1704</v>
      </c>
      <c r="J1235" s="207" t="s">
        <v>662</v>
      </c>
      <c r="K1235" s="214">
        <f t="shared" si="26"/>
        <v>200000</v>
      </c>
      <c r="L1235" s="181"/>
      <c r="M1235" s="167"/>
      <c r="N1235" s="132"/>
      <c r="O1235" s="132"/>
      <c r="P1235" s="132"/>
      <c r="Q1235" s="132"/>
      <c r="R1235" s="132"/>
      <c r="S1235" s="132"/>
      <c r="T1235" s="132"/>
      <c r="U1235" s="132"/>
      <c r="V1235" s="132"/>
      <c r="W1235" s="132"/>
      <c r="X1235" s="132"/>
      <c r="Y1235" s="132"/>
      <c r="Z1235" s="132"/>
      <c r="AA1235" s="132"/>
      <c r="AB1235" s="132"/>
      <c r="AC1235" s="132"/>
      <c r="AD1235" s="132"/>
      <c r="AE1235" s="132"/>
      <c r="AF1235" s="132"/>
      <c r="AG1235" s="132"/>
      <c r="AH1235" s="132"/>
      <c r="AI1235" s="132"/>
      <c r="AJ1235" s="132"/>
      <c r="AK1235" s="132"/>
      <c r="AL1235" s="132"/>
      <c r="AM1235" s="132"/>
      <c r="AN1235" s="132"/>
      <c r="AO1235" s="132"/>
      <c r="AP1235" s="132"/>
      <c r="AQ1235" s="132"/>
      <c r="AR1235" s="132"/>
      <c r="AS1235" s="132"/>
      <c r="AT1235" s="132"/>
      <c r="AU1235" s="132"/>
      <c r="AV1235" s="132"/>
      <c r="AW1235" s="132"/>
      <c r="AX1235" s="132"/>
      <c r="AY1235" s="132"/>
      <c r="AZ1235" s="132"/>
      <c r="BA1235" s="132"/>
      <c r="BB1235" s="132"/>
      <c r="BC1235" s="132"/>
      <c r="BD1235" s="132"/>
      <c r="BE1235" s="132"/>
      <c r="BF1235" s="132"/>
      <c r="BG1235" s="132"/>
      <c r="BH1235" s="132"/>
      <c r="BI1235" s="132"/>
      <c r="BJ1235" s="132"/>
      <c r="BK1235" s="132"/>
      <c r="BL1235" s="132"/>
      <c r="BM1235" s="132"/>
      <c r="BN1235" s="132"/>
      <c r="BO1235" s="132"/>
    </row>
    <row r="1236" spans="1:67" s="285" customFormat="1" x14ac:dyDescent="0.2">
      <c r="A1236" s="318"/>
      <c r="B1236" s="288"/>
      <c r="C1236" s="289"/>
      <c r="D1236" s="176"/>
      <c r="E1236" s="176"/>
      <c r="F1236" s="176"/>
      <c r="G1236" s="176"/>
      <c r="H1236" s="176"/>
      <c r="I1236" s="184" t="s">
        <v>1705</v>
      </c>
      <c r="J1236" s="207" t="s">
        <v>683</v>
      </c>
      <c r="K1236" s="214">
        <f t="shared" si="26"/>
        <v>200000</v>
      </c>
      <c r="L1236" s="181"/>
      <c r="M1236" s="167"/>
      <c r="N1236" s="132"/>
      <c r="O1236" s="132"/>
      <c r="P1236" s="132"/>
      <c r="Q1236" s="132"/>
      <c r="R1236" s="132"/>
      <c r="S1236" s="132"/>
      <c r="T1236" s="132"/>
      <c r="U1236" s="132"/>
      <c r="V1236" s="132"/>
      <c r="W1236" s="132"/>
      <c r="X1236" s="132"/>
      <c r="Y1236" s="132"/>
      <c r="Z1236" s="132"/>
      <c r="AA1236" s="132"/>
      <c r="AB1236" s="132"/>
      <c r="AC1236" s="132"/>
      <c r="AD1236" s="132"/>
      <c r="AE1236" s="132"/>
      <c r="AF1236" s="132"/>
      <c r="AG1236" s="132"/>
      <c r="AH1236" s="132"/>
      <c r="AI1236" s="132"/>
      <c r="AJ1236" s="132"/>
      <c r="AK1236" s="132"/>
      <c r="AL1236" s="132"/>
      <c r="AM1236" s="132"/>
      <c r="AN1236" s="132"/>
      <c r="AO1236" s="132"/>
      <c r="AP1236" s="132"/>
      <c r="AQ1236" s="132"/>
      <c r="AR1236" s="132"/>
      <c r="AS1236" s="132"/>
      <c r="AT1236" s="132"/>
      <c r="AU1236" s="132"/>
      <c r="AV1236" s="132"/>
      <c r="AW1236" s="132"/>
      <c r="AX1236" s="132"/>
      <c r="AY1236" s="132"/>
      <c r="AZ1236" s="132"/>
      <c r="BA1236" s="132"/>
      <c r="BB1236" s="132"/>
      <c r="BC1236" s="132"/>
      <c r="BD1236" s="132"/>
      <c r="BE1236" s="132"/>
      <c r="BF1236" s="132"/>
      <c r="BG1236" s="132"/>
      <c r="BH1236" s="132"/>
      <c r="BI1236" s="132"/>
      <c r="BJ1236" s="132"/>
      <c r="BK1236" s="132"/>
      <c r="BL1236" s="132"/>
      <c r="BM1236" s="132"/>
      <c r="BN1236" s="132"/>
      <c r="BO1236" s="132"/>
    </row>
    <row r="1237" spans="1:67" s="285" customFormat="1" x14ac:dyDescent="0.2">
      <c r="A1237" s="318"/>
      <c r="B1237" s="288"/>
      <c r="C1237" s="289"/>
      <c r="D1237" s="176"/>
      <c r="E1237" s="176"/>
      <c r="F1237" s="176"/>
      <c r="G1237" s="176"/>
      <c r="H1237" s="176"/>
      <c r="I1237" s="167" t="s">
        <v>1706</v>
      </c>
      <c r="J1237" s="207" t="s">
        <v>1020</v>
      </c>
      <c r="K1237" s="214">
        <f t="shared" si="26"/>
        <v>200000</v>
      </c>
      <c r="L1237" s="181"/>
      <c r="M1237" s="167"/>
      <c r="N1237" s="132"/>
      <c r="O1237" s="132"/>
      <c r="P1237" s="132"/>
      <c r="Q1237" s="132"/>
      <c r="R1237" s="132"/>
      <c r="S1237" s="132"/>
      <c r="T1237" s="132"/>
      <c r="U1237" s="132"/>
      <c r="V1237" s="132"/>
      <c r="W1237" s="132"/>
      <c r="X1237" s="132"/>
      <c r="Y1237" s="132"/>
      <c r="Z1237" s="132"/>
      <c r="AA1237" s="132"/>
      <c r="AB1237" s="132"/>
      <c r="AC1237" s="132"/>
      <c r="AD1237" s="132"/>
      <c r="AE1237" s="132"/>
      <c r="AF1237" s="132"/>
      <c r="AG1237" s="132"/>
      <c r="AH1237" s="132"/>
      <c r="AI1237" s="132"/>
      <c r="AJ1237" s="132"/>
      <c r="AK1237" s="132"/>
      <c r="AL1237" s="132"/>
      <c r="AM1237" s="132"/>
      <c r="AN1237" s="132"/>
      <c r="AO1237" s="132"/>
      <c r="AP1237" s="132"/>
      <c r="AQ1237" s="132"/>
      <c r="AR1237" s="132"/>
      <c r="AS1237" s="132"/>
      <c r="AT1237" s="132"/>
      <c r="AU1237" s="132"/>
      <c r="AV1237" s="132"/>
      <c r="AW1237" s="132"/>
      <c r="AX1237" s="132"/>
      <c r="AY1237" s="132"/>
      <c r="AZ1237" s="132"/>
      <c r="BA1237" s="132"/>
      <c r="BB1237" s="132"/>
      <c r="BC1237" s="132"/>
      <c r="BD1237" s="132"/>
      <c r="BE1237" s="132"/>
      <c r="BF1237" s="132"/>
      <c r="BG1237" s="132"/>
      <c r="BH1237" s="132"/>
      <c r="BI1237" s="132"/>
      <c r="BJ1237" s="132"/>
      <c r="BK1237" s="132"/>
      <c r="BL1237" s="132"/>
      <c r="BM1237" s="132"/>
      <c r="BN1237" s="132"/>
      <c r="BO1237" s="132"/>
    </row>
    <row r="1238" spans="1:67" s="285" customFormat="1" x14ac:dyDescent="0.2">
      <c r="A1238" s="318"/>
      <c r="B1238" s="288"/>
      <c r="C1238" s="289"/>
      <c r="D1238" s="176"/>
      <c r="E1238" s="176"/>
      <c r="F1238" s="176"/>
      <c r="G1238" s="176"/>
      <c r="H1238" s="176"/>
      <c r="I1238" s="184" t="s">
        <v>1707</v>
      </c>
      <c r="J1238" s="207" t="s">
        <v>683</v>
      </c>
      <c r="K1238" s="214">
        <f t="shared" si="26"/>
        <v>200000</v>
      </c>
      <c r="L1238" s="181"/>
      <c r="M1238" s="167"/>
      <c r="N1238" s="132"/>
      <c r="O1238" s="132"/>
      <c r="P1238" s="132"/>
      <c r="Q1238" s="132"/>
      <c r="R1238" s="132"/>
      <c r="S1238" s="132"/>
      <c r="T1238" s="132"/>
      <c r="U1238" s="132"/>
      <c r="V1238" s="132"/>
      <c r="W1238" s="132"/>
      <c r="X1238" s="132"/>
      <c r="Y1238" s="132"/>
      <c r="Z1238" s="132"/>
      <c r="AA1238" s="132"/>
      <c r="AB1238" s="132"/>
      <c r="AC1238" s="132"/>
      <c r="AD1238" s="132"/>
      <c r="AE1238" s="132"/>
      <c r="AF1238" s="132"/>
      <c r="AG1238" s="132"/>
      <c r="AH1238" s="132"/>
      <c r="AI1238" s="132"/>
      <c r="AJ1238" s="132"/>
      <c r="AK1238" s="132"/>
      <c r="AL1238" s="132"/>
      <c r="AM1238" s="132"/>
      <c r="AN1238" s="132"/>
      <c r="AO1238" s="132"/>
      <c r="AP1238" s="132"/>
      <c r="AQ1238" s="132"/>
      <c r="AR1238" s="132"/>
      <c r="AS1238" s="132"/>
      <c r="AT1238" s="132"/>
      <c r="AU1238" s="132"/>
      <c r="AV1238" s="132"/>
      <c r="AW1238" s="132"/>
      <c r="AX1238" s="132"/>
      <c r="AY1238" s="132"/>
      <c r="AZ1238" s="132"/>
      <c r="BA1238" s="132"/>
      <c r="BB1238" s="132"/>
      <c r="BC1238" s="132"/>
      <c r="BD1238" s="132"/>
      <c r="BE1238" s="132"/>
      <c r="BF1238" s="132"/>
      <c r="BG1238" s="132"/>
      <c r="BH1238" s="132"/>
      <c r="BI1238" s="132"/>
      <c r="BJ1238" s="132"/>
      <c r="BK1238" s="132"/>
      <c r="BL1238" s="132"/>
      <c r="BM1238" s="132"/>
      <c r="BN1238" s="132"/>
      <c r="BO1238" s="132"/>
    </row>
    <row r="1239" spans="1:67" s="285" customFormat="1" x14ac:dyDescent="0.2">
      <c r="A1239" s="319"/>
      <c r="B1239" s="290"/>
      <c r="C1239" s="291"/>
      <c r="D1239" s="188"/>
      <c r="E1239" s="176"/>
      <c r="F1239" s="176"/>
      <c r="G1239" s="176"/>
      <c r="H1239" s="176"/>
      <c r="I1239" s="177"/>
      <c r="J1239" s="226"/>
      <c r="K1239" s="196">
        <f>SUM(K1231:K1238)</f>
        <v>4000000</v>
      </c>
      <c r="L1239" s="193"/>
      <c r="M1239" s="189"/>
      <c r="N1239" s="132"/>
      <c r="O1239" s="132"/>
      <c r="P1239" s="132"/>
      <c r="Q1239" s="132"/>
      <c r="R1239" s="132"/>
      <c r="S1239" s="132"/>
      <c r="T1239" s="132"/>
      <c r="U1239" s="132"/>
      <c r="V1239" s="132"/>
      <c r="W1239" s="132"/>
      <c r="X1239" s="132"/>
      <c r="Y1239" s="132"/>
      <c r="Z1239" s="132"/>
      <c r="AA1239" s="132"/>
      <c r="AB1239" s="132"/>
      <c r="AC1239" s="132"/>
      <c r="AD1239" s="132"/>
      <c r="AE1239" s="132"/>
      <c r="AF1239" s="132"/>
      <c r="AG1239" s="132"/>
      <c r="AH1239" s="132"/>
      <c r="AI1239" s="132"/>
      <c r="AJ1239" s="132"/>
      <c r="AK1239" s="132"/>
      <c r="AL1239" s="132"/>
      <c r="AM1239" s="132"/>
      <c r="AN1239" s="132"/>
      <c r="AO1239" s="132"/>
      <c r="AP1239" s="132"/>
      <c r="AQ1239" s="132"/>
      <c r="AR1239" s="132"/>
      <c r="AS1239" s="132"/>
      <c r="AT1239" s="132"/>
      <c r="AU1239" s="132"/>
      <c r="AV1239" s="132"/>
      <c r="AW1239" s="132"/>
      <c r="AX1239" s="132"/>
      <c r="AY1239" s="132"/>
      <c r="AZ1239" s="132"/>
      <c r="BA1239" s="132"/>
      <c r="BB1239" s="132"/>
      <c r="BC1239" s="132"/>
      <c r="BD1239" s="132"/>
      <c r="BE1239" s="132"/>
      <c r="BF1239" s="132"/>
      <c r="BG1239" s="132"/>
      <c r="BH1239" s="132"/>
      <c r="BI1239" s="132"/>
      <c r="BJ1239" s="132"/>
      <c r="BK1239" s="132"/>
      <c r="BL1239" s="132"/>
      <c r="BM1239" s="132"/>
      <c r="BN1239" s="132"/>
      <c r="BO1239" s="132"/>
    </row>
    <row r="1240" spans="1:67" s="269" customFormat="1" ht="42" customHeight="1" x14ac:dyDescent="0.2">
      <c r="A1240" s="324">
        <v>309</v>
      </c>
      <c r="B1240" s="444" t="s">
        <v>1708</v>
      </c>
      <c r="C1240" s="445" t="s">
        <v>1708</v>
      </c>
      <c r="D1240" s="308" t="s">
        <v>107</v>
      </c>
      <c r="E1240" s="308"/>
      <c r="F1240" s="308"/>
      <c r="G1240" s="308"/>
      <c r="H1240" s="417"/>
      <c r="I1240" s="217" t="s">
        <v>1709</v>
      </c>
      <c r="J1240" s="267" t="s">
        <v>683</v>
      </c>
      <c r="K1240" s="334">
        <v>8000</v>
      </c>
      <c r="L1240" s="306" t="s">
        <v>111</v>
      </c>
      <c r="M1240" s="261" t="s">
        <v>1710</v>
      </c>
      <c r="N1240" s="132"/>
      <c r="O1240" s="132"/>
      <c r="P1240" s="132"/>
      <c r="Q1240" s="132"/>
      <c r="R1240" s="132"/>
      <c r="S1240" s="132"/>
      <c r="T1240" s="132"/>
      <c r="U1240" s="132"/>
      <c r="V1240" s="132"/>
      <c r="W1240" s="132"/>
      <c r="X1240" s="132"/>
      <c r="Y1240" s="132"/>
      <c r="Z1240" s="132"/>
      <c r="AA1240" s="132"/>
      <c r="AB1240" s="132"/>
      <c r="AC1240" s="132"/>
      <c r="AD1240" s="132"/>
      <c r="AE1240" s="132"/>
      <c r="AF1240" s="132"/>
      <c r="AG1240" s="132"/>
      <c r="AH1240" s="132"/>
      <c r="AI1240" s="132"/>
      <c r="AJ1240" s="132"/>
      <c r="AK1240" s="132"/>
      <c r="AL1240" s="132"/>
      <c r="AM1240" s="132"/>
      <c r="AN1240" s="132"/>
      <c r="AO1240" s="132"/>
      <c r="AP1240" s="132"/>
      <c r="AQ1240" s="132"/>
      <c r="AR1240" s="132"/>
      <c r="AS1240" s="132"/>
      <c r="AT1240" s="132"/>
      <c r="AU1240" s="132"/>
      <c r="AV1240" s="132"/>
      <c r="AW1240" s="132"/>
      <c r="AX1240" s="132"/>
      <c r="AY1240" s="132"/>
      <c r="AZ1240" s="132"/>
      <c r="BA1240" s="132"/>
      <c r="BB1240" s="132"/>
    </row>
    <row r="1241" spans="1:67" s="269" customFormat="1" ht="50.25" customHeight="1" x14ac:dyDescent="0.2">
      <c r="A1241" s="324">
        <v>310</v>
      </c>
      <c r="B1241" s="310" t="s">
        <v>1711</v>
      </c>
      <c r="C1241" s="311" t="s">
        <v>1711</v>
      </c>
      <c r="D1241" s="308" t="s">
        <v>107</v>
      </c>
      <c r="E1241" s="308"/>
      <c r="F1241" s="308"/>
      <c r="G1241" s="308"/>
      <c r="H1241" s="417"/>
      <c r="I1241" s="217" t="s">
        <v>1709</v>
      </c>
      <c r="J1241" s="267" t="s">
        <v>683</v>
      </c>
      <c r="K1241" s="334">
        <v>8000</v>
      </c>
      <c r="L1241" s="306" t="s">
        <v>111</v>
      </c>
      <c r="M1241" s="261" t="s">
        <v>1712</v>
      </c>
      <c r="N1241" s="132"/>
      <c r="O1241" s="132"/>
      <c r="P1241" s="132"/>
      <c r="Q1241" s="132"/>
      <c r="R1241" s="132"/>
      <c r="S1241" s="132"/>
      <c r="T1241" s="132"/>
      <c r="U1241" s="132"/>
      <c r="V1241" s="132"/>
      <c r="W1241" s="132"/>
      <c r="X1241" s="132"/>
      <c r="Y1241" s="132"/>
      <c r="Z1241" s="132"/>
      <c r="AA1241" s="132"/>
      <c r="AB1241" s="132"/>
      <c r="AC1241" s="132"/>
      <c r="AD1241" s="132"/>
      <c r="AE1241" s="132"/>
      <c r="AF1241" s="132"/>
      <c r="AG1241" s="132"/>
      <c r="AH1241" s="132"/>
      <c r="AI1241" s="132"/>
      <c r="AJ1241" s="132"/>
      <c r="AK1241" s="132"/>
      <c r="AL1241" s="132"/>
      <c r="AM1241" s="132"/>
      <c r="AN1241" s="132"/>
      <c r="AO1241" s="132"/>
      <c r="AP1241" s="132"/>
      <c r="AQ1241" s="132"/>
      <c r="AR1241" s="132"/>
      <c r="AS1241" s="132"/>
      <c r="AT1241" s="132"/>
      <c r="AU1241" s="132"/>
      <c r="AV1241" s="132"/>
      <c r="AW1241" s="132"/>
      <c r="AX1241" s="132"/>
      <c r="AY1241" s="132"/>
      <c r="AZ1241" s="132"/>
      <c r="BA1241" s="132"/>
      <c r="BB1241" s="132"/>
    </row>
    <row r="1242" spans="1:67" s="269" customFormat="1" ht="50.25" customHeight="1" x14ac:dyDescent="0.2">
      <c r="A1242" s="318">
        <v>311</v>
      </c>
      <c r="B1242" s="293" t="s">
        <v>1713</v>
      </c>
      <c r="C1242" s="294"/>
      <c r="D1242" s="166" t="s">
        <v>25</v>
      </c>
      <c r="E1242" s="166"/>
      <c r="F1242" s="166"/>
      <c r="G1242" s="166" t="s">
        <v>656</v>
      </c>
      <c r="H1242" s="166"/>
      <c r="I1242" s="261" t="s">
        <v>1478</v>
      </c>
      <c r="J1242" s="353" t="s">
        <v>683</v>
      </c>
      <c r="K1242" s="446">
        <f>750000*20%</f>
        <v>150000</v>
      </c>
      <c r="L1242" s="171" t="s">
        <v>656</v>
      </c>
      <c r="M1242" s="171" t="s">
        <v>1714</v>
      </c>
      <c r="N1242" s="132"/>
      <c r="O1242" s="132"/>
      <c r="P1242" s="132"/>
      <c r="Q1242" s="132"/>
      <c r="R1242" s="132"/>
      <c r="S1242" s="132"/>
      <c r="T1242" s="132"/>
      <c r="U1242" s="132"/>
      <c r="V1242" s="132"/>
      <c r="W1242" s="132"/>
      <c r="X1242" s="132"/>
      <c r="Y1242" s="132"/>
      <c r="Z1242" s="132"/>
      <c r="AA1242" s="132"/>
      <c r="AB1242" s="132"/>
      <c r="AC1242" s="132"/>
      <c r="AD1242" s="132"/>
      <c r="AE1242" s="132"/>
      <c r="AF1242" s="132"/>
      <c r="AG1242" s="132"/>
      <c r="AH1242" s="132"/>
      <c r="AI1242" s="132"/>
      <c r="AJ1242" s="132"/>
      <c r="AK1242" s="132"/>
      <c r="AL1242" s="132"/>
      <c r="AM1242" s="132"/>
      <c r="AN1242" s="132"/>
      <c r="AO1242" s="132"/>
      <c r="AP1242" s="132"/>
      <c r="AQ1242" s="132"/>
      <c r="AR1242" s="132"/>
      <c r="AS1242" s="132"/>
      <c r="AT1242" s="132"/>
      <c r="AU1242" s="132"/>
      <c r="AV1242" s="132"/>
      <c r="AW1242" s="132"/>
      <c r="AX1242" s="132"/>
      <c r="AY1242" s="132"/>
      <c r="AZ1242" s="132"/>
      <c r="BA1242" s="132"/>
      <c r="BB1242" s="132"/>
    </row>
    <row r="1243" spans="1:67" s="269" customFormat="1" ht="50.25" customHeight="1" x14ac:dyDescent="0.2">
      <c r="A1243" s="318"/>
      <c r="B1243" s="288"/>
      <c r="C1243" s="289"/>
      <c r="D1243" s="176"/>
      <c r="E1243" s="176"/>
      <c r="F1243" s="176"/>
      <c r="G1243" s="176"/>
      <c r="H1243" s="176"/>
      <c r="I1243" s="184" t="s">
        <v>1715</v>
      </c>
      <c r="J1243" s="207" t="s">
        <v>211</v>
      </c>
      <c r="K1243" s="301">
        <f>750000*20%</f>
        <v>150000</v>
      </c>
      <c r="L1243" s="181"/>
      <c r="M1243" s="181"/>
      <c r="N1243" s="132"/>
      <c r="O1243" s="132"/>
      <c r="P1243" s="132"/>
      <c r="Q1243" s="132"/>
      <c r="R1243" s="132"/>
      <c r="S1243" s="132"/>
      <c r="T1243" s="132"/>
      <c r="U1243" s="132"/>
      <c r="V1243" s="132"/>
      <c r="W1243" s="132"/>
      <c r="X1243" s="132"/>
      <c r="Y1243" s="132"/>
      <c r="Z1243" s="132"/>
      <c r="AA1243" s="132"/>
      <c r="AB1243" s="132"/>
      <c r="AC1243" s="132"/>
      <c r="AD1243" s="132"/>
      <c r="AE1243" s="132"/>
      <c r="AF1243" s="132"/>
      <c r="AG1243" s="132"/>
      <c r="AH1243" s="132"/>
      <c r="AI1243" s="132"/>
      <c r="AJ1243" s="132"/>
      <c r="AK1243" s="132"/>
      <c r="AL1243" s="132"/>
      <c r="AM1243" s="132"/>
      <c r="AN1243" s="132"/>
      <c r="AO1243" s="132"/>
      <c r="AP1243" s="132"/>
      <c r="AQ1243" s="132"/>
      <c r="AR1243" s="132"/>
      <c r="AS1243" s="132"/>
      <c r="AT1243" s="132"/>
      <c r="AU1243" s="132"/>
      <c r="AV1243" s="132"/>
      <c r="AW1243" s="132"/>
      <c r="AX1243" s="132"/>
      <c r="AY1243" s="132"/>
      <c r="AZ1243" s="132"/>
      <c r="BA1243" s="132"/>
      <c r="BB1243" s="132"/>
    </row>
    <row r="1244" spans="1:67" s="269" customFormat="1" ht="50.25" customHeight="1" x14ac:dyDescent="0.2">
      <c r="A1244" s="318"/>
      <c r="B1244" s="288"/>
      <c r="C1244" s="289"/>
      <c r="D1244" s="176"/>
      <c r="E1244" s="176"/>
      <c r="F1244" s="176"/>
      <c r="G1244" s="176"/>
      <c r="H1244" s="176"/>
      <c r="I1244" s="184" t="s">
        <v>1716</v>
      </c>
      <c r="J1244" s="168" t="s">
        <v>662</v>
      </c>
      <c r="K1244" s="301">
        <f>750000*20%</f>
        <v>150000</v>
      </c>
      <c r="L1244" s="181"/>
      <c r="M1244" s="181"/>
      <c r="N1244" s="132"/>
      <c r="O1244" s="132"/>
      <c r="P1244" s="132"/>
      <c r="Q1244" s="132"/>
      <c r="R1244" s="132"/>
      <c r="S1244" s="132"/>
      <c r="T1244" s="132"/>
      <c r="U1244" s="132"/>
      <c r="V1244" s="132"/>
      <c r="W1244" s="132"/>
      <c r="X1244" s="132"/>
      <c r="Y1244" s="132"/>
      <c r="Z1244" s="132"/>
      <c r="AA1244" s="132"/>
      <c r="AB1244" s="132"/>
      <c r="AC1244" s="132"/>
      <c r="AD1244" s="132"/>
      <c r="AE1244" s="132"/>
      <c r="AF1244" s="132"/>
      <c r="AG1244" s="132"/>
      <c r="AH1244" s="132"/>
      <c r="AI1244" s="132"/>
      <c r="AJ1244" s="132"/>
      <c r="AK1244" s="132"/>
      <c r="AL1244" s="132"/>
      <c r="AM1244" s="132"/>
      <c r="AN1244" s="132"/>
      <c r="AO1244" s="132"/>
      <c r="AP1244" s="132"/>
      <c r="AQ1244" s="132"/>
      <c r="AR1244" s="132"/>
      <c r="AS1244" s="132"/>
      <c r="AT1244" s="132"/>
      <c r="AU1244" s="132"/>
      <c r="AV1244" s="132"/>
      <c r="AW1244" s="132"/>
      <c r="AX1244" s="132"/>
      <c r="AY1244" s="132"/>
      <c r="AZ1244" s="132"/>
      <c r="BA1244" s="132"/>
      <c r="BB1244" s="132"/>
    </row>
    <row r="1245" spans="1:67" s="269" customFormat="1" ht="50.25" customHeight="1" x14ac:dyDescent="0.2">
      <c r="A1245" s="318"/>
      <c r="B1245" s="288"/>
      <c r="C1245" s="289"/>
      <c r="D1245" s="176"/>
      <c r="E1245" s="176"/>
      <c r="F1245" s="176"/>
      <c r="G1245" s="176"/>
      <c r="H1245" s="176"/>
      <c r="I1245" s="184" t="s">
        <v>1717</v>
      </c>
      <c r="J1245" s="226" t="s">
        <v>196</v>
      </c>
      <c r="K1245" s="301">
        <f>750000*20%</f>
        <v>150000</v>
      </c>
      <c r="L1245" s="181"/>
      <c r="M1245" s="181"/>
      <c r="N1245" s="132"/>
      <c r="O1245" s="132"/>
      <c r="P1245" s="132"/>
      <c r="Q1245" s="132"/>
      <c r="R1245" s="132"/>
      <c r="S1245" s="132"/>
      <c r="T1245" s="132"/>
      <c r="U1245" s="132"/>
      <c r="V1245" s="132"/>
      <c r="W1245" s="132"/>
      <c r="X1245" s="132"/>
      <c r="Y1245" s="132"/>
      <c r="Z1245" s="132"/>
      <c r="AA1245" s="132"/>
      <c r="AB1245" s="132"/>
      <c r="AC1245" s="132"/>
      <c r="AD1245" s="132"/>
      <c r="AE1245" s="132"/>
      <c r="AF1245" s="132"/>
      <c r="AG1245" s="132"/>
      <c r="AH1245" s="132"/>
      <c r="AI1245" s="132"/>
      <c r="AJ1245" s="132"/>
      <c r="AK1245" s="132"/>
      <c r="AL1245" s="132"/>
      <c r="AM1245" s="132"/>
      <c r="AN1245" s="132"/>
      <c r="AO1245" s="132"/>
      <c r="AP1245" s="132"/>
      <c r="AQ1245" s="132"/>
      <c r="AR1245" s="132"/>
      <c r="AS1245" s="132"/>
      <c r="AT1245" s="132"/>
      <c r="AU1245" s="132"/>
      <c r="AV1245" s="132"/>
      <c r="AW1245" s="132"/>
      <c r="AX1245" s="132"/>
      <c r="AY1245" s="132"/>
      <c r="AZ1245" s="132"/>
      <c r="BA1245" s="132"/>
      <c r="BB1245" s="132"/>
    </row>
    <row r="1246" spans="1:67" s="269" customFormat="1" ht="50.25" customHeight="1" x14ac:dyDescent="0.2">
      <c r="A1246" s="318"/>
      <c r="B1246" s="288"/>
      <c r="C1246" s="289"/>
      <c r="D1246" s="176"/>
      <c r="E1246" s="176"/>
      <c r="F1246" s="176"/>
      <c r="G1246" s="176"/>
      <c r="H1246" s="176"/>
      <c r="I1246" s="167" t="s">
        <v>1718</v>
      </c>
      <c r="J1246" s="207" t="s">
        <v>190</v>
      </c>
      <c r="K1246" s="301">
        <f>750000*20%</f>
        <v>150000</v>
      </c>
      <c r="L1246" s="181"/>
      <c r="M1246" s="181"/>
      <c r="N1246" s="132"/>
      <c r="O1246" s="132"/>
      <c r="P1246" s="132"/>
      <c r="Q1246" s="132"/>
      <c r="R1246" s="132"/>
      <c r="S1246" s="132"/>
      <c r="T1246" s="132"/>
      <c r="U1246" s="132"/>
      <c r="V1246" s="132"/>
      <c r="W1246" s="132"/>
      <c r="X1246" s="132"/>
      <c r="Y1246" s="132"/>
      <c r="Z1246" s="132"/>
      <c r="AA1246" s="132"/>
      <c r="AB1246" s="132"/>
      <c r="AC1246" s="132"/>
      <c r="AD1246" s="132"/>
      <c r="AE1246" s="132"/>
      <c r="AF1246" s="132"/>
      <c r="AG1246" s="132"/>
      <c r="AH1246" s="132"/>
      <c r="AI1246" s="132"/>
      <c r="AJ1246" s="132"/>
      <c r="AK1246" s="132"/>
      <c r="AL1246" s="132"/>
      <c r="AM1246" s="132"/>
      <c r="AN1246" s="132"/>
      <c r="AO1246" s="132"/>
      <c r="AP1246" s="132"/>
      <c r="AQ1246" s="132"/>
      <c r="AR1246" s="132"/>
      <c r="AS1246" s="132"/>
      <c r="AT1246" s="132"/>
      <c r="AU1246" s="132"/>
      <c r="AV1246" s="132"/>
      <c r="AW1246" s="132"/>
      <c r="AX1246" s="132"/>
      <c r="AY1246" s="132"/>
      <c r="AZ1246" s="132"/>
      <c r="BA1246" s="132"/>
      <c r="BB1246" s="132"/>
    </row>
    <row r="1247" spans="1:67" s="269" customFormat="1" ht="50.25" customHeight="1" x14ac:dyDescent="0.2">
      <c r="A1247" s="319"/>
      <c r="B1247" s="290"/>
      <c r="C1247" s="291"/>
      <c r="D1247" s="188"/>
      <c r="E1247" s="188"/>
      <c r="F1247" s="188"/>
      <c r="G1247" s="188"/>
      <c r="H1247" s="188"/>
      <c r="I1247" s="202"/>
      <c r="J1247" s="215"/>
      <c r="K1247" s="335">
        <f>SUM(K1242:K1246)</f>
        <v>750000</v>
      </c>
      <c r="L1247" s="193"/>
      <c r="M1247" s="193"/>
      <c r="N1247" s="132"/>
      <c r="O1247" s="132"/>
      <c r="P1247" s="132"/>
      <c r="Q1247" s="132"/>
      <c r="R1247" s="132"/>
      <c r="S1247" s="132"/>
      <c r="T1247" s="132"/>
      <c r="U1247" s="132"/>
      <c r="V1247" s="132"/>
      <c r="W1247" s="132"/>
      <c r="X1247" s="132"/>
      <c r="Y1247" s="132"/>
      <c r="Z1247" s="132"/>
      <c r="AA1247" s="132"/>
      <c r="AB1247" s="132"/>
      <c r="AC1247" s="132"/>
      <c r="AD1247" s="132"/>
      <c r="AE1247" s="132"/>
      <c r="AF1247" s="132"/>
      <c r="AG1247" s="132"/>
      <c r="AH1247" s="132"/>
      <c r="AI1247" s="132"/>
      <c r="AJ1247" s="132"/>
      <c r="AK1247" s="132"/>
      <c r="AL1247" s="132"/>
      <c r="AM1247" s="132"/>
      <c r="AN1247" s="132"/>
      <c r="AO1247" s="132"/>
      <c r="AP1247" s="132"/>
      <c r="AQ1247" s="132"/>
      <c r="AR1247" s="132"/>
      <c r="AS1247" s="132"/>
      <c r="AT1247" s="132"/>
      <c r="AU1247" s="132"/>
      <c r="AV1247" s="132"/>
      <c r="AW1247" s="132"/>
      <c r="AX1247" s="132"/>
      <c r="AY1247" s="132"/>
      <c r="AZ1247" s="132"/>
      <c r="BA1247" s="132"/>
      <c r="BB1247" s="132"/>
    </row>
    <row r="1248" spans="1:67" s="269" customFormat="1" ht="24" customHeight="1" x14ac:dyDescent="0.2">
      <c r="A1248" s="163">
        <v>312</v>
      </c>
      <c r="B1248" s="164" t="s">
        <v>1719</v>
      </c>
      <c r="C1248" s="165"/>
      <c r="D1248" s="252" t="s">
        <v>107</v>
      </c>
      <c r="E1248" s="166"/>
      <c r="F1248" s="166"/>
      <c r="G1248" s="166"/>
      <c r="H1248" s="166" t="s">
        <v>164</v>
      </c>
      <c r="I1248" s="217" t="s">
        <v>1720</v>
      </c>
      <c r="J1248" s="194" t="s">
        <v>1721</v>
      </c>
      <c r="K1248" s="447">
        <f>K1250*70%</f>
        <v>4480</v>
      </c>
      <c r="L1248" s="170" t="s">
        <v>111</v>
      </c>
      <c r="M1248" s="171" t="s">
        <v>1722</v>
      </c>
      <c r="N1248" s="132"/>
      <c r="O1248" s="132"/>
      <c r="P1248" s="132"/>
      <c r="Q1248" s="132"/>
      <c r="R1248" s="132"/>
      <c r="S1248" s="132"/>
      <c r="T1248" s="132"/>
      <c r="U1248" s="132"/>
      <c r="V1248" s="132"/>
      <c r="W1248" s="132"/>
      <c r="X1248" s="132"/>
      <c r="Y1248" s="132"/>
      <c r="Z1248" s="132"/>
      <c r="AA1248" s="132"/>
      <c r="AB1248" s="132"/>
      <c r="AC1248" s="132"/>
      <c r="AD1248" s="132"/>
      <c r="AE1248" s="132"/>
      <c r="AF1248" s="132"/>
      <c r="AG1248" s="132"/>
      <c r="AH1248" s="132"/>
      <c r="AI1248" s="132"/>
      <c r="AJ1248" s="132"/>
      <c r="AK1248" s="132"/>
      <c r="AL1248" s="132"/>
      <c r="AM1248" s="132"/>
      <c r="AN1248" s="132"/>
      <c r="AO1248" s="132"/>
      <c r="AP1248" s="132"/>
      <c r="AQ1248" s="132"/>
      <c r="AR1248" s="132"/>
      <c r="AS1248" s="132"/>
      <c r="AT1248" s="132"/>
      <c r="AU1248" s="132"/>
      <c r="AV1248" s="132"/>
      <c r="AW1248" s="132"/>
      <c r="AX1248" s="132"/>
      <c r="AY1248" s="132"/>
      <c r="AZ1248" s="132"/>
      <c r="BA1248" s="132"/>
      <c r="BB1248" s="132"/>
      <c r="BC1248" s="132"/>
      <c r="BD1248" s="132"/>
      <c r="BE1248" s="132"/>
      <c r="BF1248" s="132"/>
      <c r="BG1248" s="132"/>
      <c r="BH1248" s="132"/>
      <c r="BI1248" s="132"/>
      <c r="BJ1248" s="132"/>
      <c r="BK1248" s="132"/>
      <c r="BL1248" s="132"/>
      <c r="BM1248" s="132"/>
      <c r="BN1248" s="132"/>
      <c r="BO1248" s="132"/>
    </row>
    <row r="1249" spans="1:67" s="269" customFormat="1" ht="24" customHeight="1" x14ac:dyDescent="0.2">
      <c r="A1249" s="173"/>
      <c r="B1249" s="174"/>
      <c r="C1249" s="175"/>
      <c r="D1249" s="245"/>
      <c r="E1249" s="176"/>
      <c r="F1249" s="176"/>
      <c r="G1249" s="176"/>
      <c r="H1249" s="176"/>
      <c r="I1249" s="177" t="s">
        <v>1723</v>
      </c>
      <c r="J1249" s="178" t="s">
        <v>1724</v>
      </c>
      <c r="K1249" s="208">
        <f>K1250*30%</f>
        <v>1920</v>
      </c>
      <c r="L1249" s="180"/>
      <c r="M1249" s="181"/>
      <c r="N1249" s="132"/>
      <c r="O1249" s="132"/>
      <c r="P1249" s="132"/>
      <c r="Q1249" s="132"/>
      <c r="R1249" s="132"/>
      <c r="S1249" s="132"/>
      <c r="T1249" s="132"/>
      <c r="U1249" s="132"/>
      <c r="V1249" s="132"/>
      <c r="W1249" s="132"/>
      <c r="X1249" s="132"/>
      <c r="Y1249" s="132"/>
      <c r="Z1249" s="132"/>
      <c r="AA1249" s="132"/>
      <c r="AB1249" s="132"/>
      <c r="AC1249" s="132"/>
      <c r="AD1249" s="132"/>
      <c r="AE1249" s="132"/>
      <c r="AF1249" s="132"/>
      <c r="AG1249" s="132"/>
      <c r="AH1249" s="132"/>
      <c r="AI1249" s="132"/>
      <c r="AJ1249" s="132"/>
      <c r="AK1249" s="132"/>
      <c r="AL1249" s="132"/>
      <c r="AM1249" s="132"/>
      <c r="AN1249" s="132"/>
      <c r="AO1249" s="132"/>
      <c r="AP1249" s="132"/>
      <c r="AQ1249" s="132"/>
      <c r="AR1249" s="132"/>
      <c r="AS1249" s="132"/>
      <c r="AT1249" s="132"/>
      <c r="AU1249" s="132"/>
      <c r="AV1249" s="132"/>
      <c r="AW1249" s="132"/>
      <c r="AX1249" s="132"/>
      <c r="AY1249" s="132"/>
      <c r="AZ1249" s="132"/>
      <c r="BA1249" s="132"/>
      <c r="BB1249" s="132"/>
      <c r="BC1249" s="132"/>
      <c r="BD1249" s="132"/>
      <c r="BE1249" s="132"/>
      <c r="BF1249" s="132"/>
      <c r="BG1249" s="132"/>
      <c r="BH1249" s="132"/>
      <c r="BI1249" s="132"/>
      <c r="BJ1249" s="132"/>
      <c r="BK1249" s="132"/>
      <c r="BL1249" s="132"/>
      <c r="BM1249" s="132"/>
      <c r="BN1249" s="132"/>
      <c r="BO1249" s="132"/>
    </row>
    <row r="1250" spans="1:67" s="269" customFormat="1" ht="24" customHeight="1" x14ac:dyDescent="0.2">
      <c r="A1250" s="185"/>
      <c r="B1250" s="186"/>
      <c r="C1250" s="187"/>
      <c r="D1250" s="246"/>
      <c r="E1250" s="188"/>
      <c r="F1250" s="188"/>
      <c r="G1250" s="188"/>
      <c r="H1250" s="188"/>
      <c r="I1250" s="202"/>
      <c r="J1250" s="215"/>
      <c r="K1250" s="209">
        <v>6400</v>
      </c>
      <c r="L1250" s="192"/>
      <c r="M1250" s="193"/>
      <c r="N1250" s="132"/>
      <c r="O1250" s="132"/>
      <c r="P1250" s="132"/>
      <c r="Q1250" s="132"/>
      <c r="R1250" s="132"/>
      <c r="S1250" s="132"/>
      <c r="T1250" s="132"/>
      <c r="U1250" s="132"/>
      <c r="V1250" s="132"/>
      <c r="W1250" s="132"/>
      <c r="X1250" s="132"/>
      <c r="Y1250" s="132"/>
      <c r="Z1250" s="132"/>
      <c r="AA1250" s="132"/>
      <c r="AB1250" s="132"/>
      <c r="AC1250" s="132"/>
      <c r="AD1250" s="132"/>
      <c r="AE1250" s="132"/>
      <c r="AF1250" s="132"/>
      <c r="AG1250" s="132"/>
      <c r="AH1250" s="132"/>
      <c r="AI1250" s="132"/>
      <c r="AJ1250" s="132"/>
      <c r="AK1250" s="132"/>
      <c r="AL1250" s="132"/>
      <c r="AM1250" s="132"/>
      <c r="AN1250" s="132"/>
      <c r="AO1250" s="132"/>
      <c r="AP1250" s="132"/>
      <c r="AQ1250" s="132"/>
      <c r="AR1250" s="132"/>
      <c r="AS1250" s="132"/>
      <c r="AT1250" s="132"/>
      <c r="AU1250" s="132"/>
      <c r="AV1250" s="132"/>
      <c r="AW1250" s="132"/>
      <c r="AX1250" s="132"/>
      <c r="AY1250" s="132"/>
      <c r="AZ1250" s="132"/>
      <c r="BA1250" s="132"/>
      <c r="BB1250" s="132"/>
      <c r="BC1250" s="132"/>
      <c r="BD1250" s="132"/>
      <c r="BE1250" s="132"/>
      <c r="BF1250" s="132"/>
      <c r="BG1250" s="132"/>
      <c r="BH1250" s="132"/>
      <c r="BI1250" s="132"/>
      <c r="BJ1250" s="132"/>
      <c r="BK1250" s="132"/>
      <c r="BL1250" s="132"/>
      <c r="BM1250" s="132"/>
      <c r="BN1250" s="132"/>
      <c r="BO1250" s="132"/>
    </row>
    <row r="1251" spans="1:67" s="269" customFormat="1" ht="24" customHeight="1" x14ac:dyDescent="0.2">
      <c r="A1251" s="163">
        <v>313</v>
      </c>
      <c r="B1251" s="164" t="s">
        <v>1725</v>
      </c>
      <c r="C1251" s="165"/>
      <c r="D1251" s="252" t="s">
        <v>107</v>
      </c>
      <c r="E1251" s="166"/>
      <c r="F1251" s="166"/>
      <c r="G1251" s="166"/>
      <c r="H1251" s="166" t="s">
        <v>137</v>
      </c>
      <c r="I1251" s="167" t="s">
        <v>1726</v>
      </c>
      <c r="J1251" s="168" t="s">
        <v>1721</v>
      </c>
      <c r="K1251" s="169">
        <f>K1254*80%</f>
        <v>16160</v>
      </c>
      <c r="L1251" s="170" t="s">
        <v>111</v>
      </c>
      <c r="M1251" s="171" t="s">
        <v>1727</v>
      </c>
      <c r="N1251" s="132"/>
      <c r="O1251" s="132"/>
      <c r="P1251" s="132"/>
      <c r="Q1251" s="132"/>
      <c r="R1251" s="132"/>
      <c r="S1251" s="132"/>
      <c r="T1251" s="132"/>
      <c r="U1251" s="132"/>
      <c r="V1251" s="132"/>
      <c r="W1251" s="132"/>
      <c r="X1251" s="132"/>
      <c r="Y1251" s="132"/>
      <c r="Z1251" s="132"/>
      <c r="AA1251" s="132"/>
      <c r="AB1251" s="132"/>
      <c r="AC1251" s="132"/>
      <c r="AD1251" s="132"/>
      <c r="AE1251" s="132"/>
      <c r="AF1251" s="132"/>
      <c r="AG1251" s="132"/>
      <c r="AH1251" s="132"/>
      <c r="AI1251" s="132"/>
      <c r="AJ1251" s="132"/>
      <c r="AK1251" s="132"/>
      <c r="AL1251" s="132"/>
      <c r="AM1251" s="132"/>
      <c r="AN1251" s="132"/>
      <c r="AO1251" s="132"/>
      <c r="AP1251" s="132"/>
      <c r="AQ1251" s="132"/>
      <c r="AR1251" s="132"/>
      <c r="AS1251" s="132"/>
      <c r="AT1251" s="132"/>
      <c r="AU1251" s="132"/>
      <c r="AV1251" s="132"/>
      <c r="AW1251" s="132"/>
      <c r="AX1251" s="132"/>
      <c r="AY1251" s="132"/>
      <c r="AZ1251" s="132"/>
      <c r="BA1251" s="132"/>
      <c r="BB1251" s="132"/>
      <c r="BC1251" s="132"/>
      <c r="BD1251" s="132"/>
      <c r="BE1251" s="132"/>
      <c r="BF1251" s="132"/>
      <c r="BG1251" s="132"/>
      <c r="BH1251" s="132"/>
      <c r="BI1251" s="132"/>
      <c r="BJ1251" s="132"/>
      <c r="BK1251" s="132"/>
      <c r="BL1251" s="132"/>
      <c r="BM1251" s="132"/>
      <c r="BN1251" s="132"/>
      <c r="BO1251" s="132"/>
    </row>
    <row r="1252" spans="1:67" s="269" customFormat="1" ht="24" customHeight="1" x14ac:dyDescent="0.2">
      <c r="A1252" s="173"/>
      <c r="B1252" s="174"/>
      <c r="C1252" s="175"/>
      <c r="D1252" s="245"/>
      <c r="E1252" s="176"/>
      <c r="F1252" s="176"/>
      <c r="G1252" s="176"/>
      <c r="H1252" s="176"/>
      <c r="I1252" s="177" t="s">
        <v>1728</v>
      </c>
      <c r="J1252" s="183" t="s">
        <v>1721</v>
      </c>
      <c r="K1252" s="208">
        <f>K1254*10%</f>
        <v>2020</v>
      </c>
      <c r="L1252" s="180"/>
      <c r="M1252" s="181"/>
      <c r="N1252" s="132"/>
      <c r="O1252" s="132"/>
      <c r="P1252" s="132"/>
      <c r="Q1252" s="132"/>
      <c r="R1252" s="132"/>
      <c r="S1252" s="132"/>
      <c r="T1252" s="132"/>
      <c r="U1252" s="132"/>
      <c r="V1252" s="132"/>
      <c r="W1252" s="132"/>
      <c r="X1252" s="132"/>
      <c r="Y1252" s="132"/>
      <c r="Z1252" s="132"/>
      <c r="AA1252" s="132"/>
      <c r="AB1252" s="132"/>
      <c r="AC1252" s="132"/>
      <c r="AD1252" s="132"/>
      <c r="AE1252" s="132"/>
      <c r="AF1252" s="132"/>
      <c r="AG1252" s="132"/>
      <c r="AH1252" s="132"/>
      <c r="AI1252" s="132"/>
      <c r="AJ1252" s="132"/>
      <c r="AK1252" s="132"/>
      <c r="AL1252" s="132"/>
      <c r="AM1252" s="132"/>
      <c r="AN1252" s="132"/>
      <c r="AO1252" s="132"/>
      <c r="AP1252" s="132"/>
      <c r="AQ1252" s="132"/>
      <c r="AR1252" s="132"/>
      <c r="AS1252" s="132"/>
      <c r="AT1252" s="132"/>
      <c r="AU1252" s="132"/>
      <c r="AV1252" s="132"/>
      <c r="AW1252" s="132"/>
      <c r="AX1252" s="132"/>
      <c r="AY1252" s="132"/>
      <c r="AZ1252" s="132"/>
      <c r="BA1252" s="132"/>
      <c r="BB1252" s="132"/>
      <c r="BC1252" s="132"/>
      <c r="BD1252" s="132"/>
      <c r="BE1252" s="132"/>
      <c r="BF1252" s="132"/>
      <c r="BG1252" s="132"/>
      <c r="BH1252" s="132"/>
      <c r="BI1252" s="132"/>
      <c r="BJ1252" s="132"/>
      <c r="BK1252" s="132"/>
      <c r="BL1252" s="132"/>
      <c r="BM1252" s="132"/>
      <c r="BN1252" s="132"/>
      <c r="BO1252" s="132"/>
    </row>
    <row r="1253" spans="1:67" s="269" customFormat="1" ht="24" customHeight="1" x14ac:dyDescent="0.2">
      <c r="A1253" s="173"/>
      <c r="B1253" s="174"/>
      <c r="C1253" s="175"/>
      <c r="D1253" s="245"/>
      <c r="E1253" s="176"/>
      <c r="F1253" s="176"/>
      <c r="G1253" s="176"/>
      <c r="H1253" s="176"/>
      <c r="I1253" s="184" t="s">
        <v>1729</v>
      </c>
      <c r="J1253" s="178" t="s">
        <v>1724</v>
      </c>
      <c r="K1253" s="201">
        <f>K1254*10%</f>
        <v>2020</v>
      </c>
      <c r="L1253" s="180"/>
      <c r="M1253" s="181"/>
      <c r="N1253" s="132"/>
      <c r="O1253" s="132"/>
      <c r="P1253" s="132"/>
      <c r="Q1253" s="132"/>
      <c r="R1253" s="132"/>
      <c r="S1253" s="132"/>
      <c r="T1253" s="132"/>
      <c r="U1253" s="132"/>
      <c r="V1253" s="132"/>
      <c r="W1253" s="132"/>
      <c r="X1253" s="132"/>
      <c r="Y1253" s="132"/>
      <c r="Z1253" s="132"/>
      <c r="AA1253" s="132"/>
      <c r="AB1253" s="132"/>
      <c r="AC1253" s="132"/>
      <c r="AD1253" s="132"/>
      <c r="AE1253" s="132"/>
      <c r="AF1253" s="132"/>
      <c r="AG1253" s="132"/>
      <c r="AH1253" s="132"/>
      <c r="AI1253" s="132"/>
      <c r="AJ1253" s="132"/>
      <c r="AK1253" s="132"/>
      <c r="AL1253" s="132"/>
      <c r="AM1253" s="132"/>
      <c r="AN1253" s="132"/>
      <c r="AO1253" s="132"/>
      <c r="AP1253" s="132"/>
      <c r="AQ1253" s="132"/>
      <c r="AR1253" s="132"/>
      <c r="AS1253" s="132"/>
      <c r="AT1253" s="132"/>
      <c r="AU1253" s="132"/>
      <c r="AV1253" s="132"/>
      <c r="AW1253" s="132"/>
      <c r="AX1253" s="132"/>
      <c r="AY1253" s="132"/>
      <c r="AZ1253" s="132"/>
      <c r="BA1253" s="132"/>
      <c r="BB1253" s="132"/>
      <c r="BC1253" s="132"/>
      <c r="BD1253" s="132"/>
      <c r="BE1253" s="132"/>
      <c r="BF1253" s="132"/>
      <c r="BG1253" s="132"/>
      <c r="BH1253" s="132"/>
      <c r="BI1253" s="132"/>
      <c r="BJ1253" s="132"/>
      <c r="BK1253" s="132"/>
      <c r="BL1253" s="132"/>
      <c r="BM1253" s="132"/>
      <c r="BN1253" s="132"/>
      <c r="BO1253" s="132"/>
    </row>
    <row r="1254" spans="1:67" s="269" customFormat="1" ht="24" customHeight="1" x14ac:dyDescent="0.2">
      <c r="A1254" s="185"/>
      <c r="B1254" s="186"/>
      <c r="C1254" s="187"/>
      <c r="D1254" s="246"/>
      <c r="E1254" s="188"/>
      <c r="F1254" s="188"/>
      <c r="G1254" s="188"/>
      <c r="H1254" s="188"/>
      <c r="I1254" s="189"/>
      <c r="J1254" s="190"/>
      <c r="K1254" s="191">
        <v>20200</v>
      </c>
      <c r="L1254" s="192"/>
      <c r="M1254" s="193"/>
      <c r="N1254" s="132"/>
      <c r="O1254" s="132"/>
      <c r="P1254" s="132"/>
      <c r="Q1254" s="132"/>
      <c r="R1254" s="132"/>
      <c r="S1254" s="132"/>
      <c r="T1254" s="132"/>
      <c r="U1254" s="132"/>
      <c r="V1254" s="132"/>
      <c r="W1254" s="132"/>
      <c r="X1254" s="132"/>
      <c r="Y1254" s="132"/>
      <c r="Z1254" s="132"/>
      <c r="AA1254" s="132"/>
      <c r="AB1254" s="132"/>
      <c r="AC1254" s="132"/>
      <c r="AD1254" s="132"/>
      <c r="AE1254" s="132"/>
      <c r="AF1254" s="132"/>
      <c r="AG1254" s="132"/>
      <c r="AH1254" s="132"/>
      <c r="AI1254" s="132"/>
      <c r="AJ1254" s="132"/>
      <c r="AK1254" s="132"/>
      <c r="AL1254" s="132"/>
      <c r="AM1254" s="132"/>
      <c r="AN1254" s="132"/>
      <c r="AO1254" s="132"/>
      <c r="AP1254" s="132"/>
      <c r="AQ1254" s="132"/>
      <c r="AR1254" s="132"/>
      <c r="AS1254" s="132"/>
      <c r="AT1254" s="132"/>
      <c r="AU1254" s="132"/>
      <c r="AV1254" s="132"/>
      <c r="AW1254" s="132"/>
      <c r="AX1254" s="132"/>
      <c r="AY1254" s="132"/>
      <c r="AZ1254" s="132"/>
      <c r="BA1254" s="132"/>
      <c r="BB1254" s="132"/>
      <c r="BC1254" s="132"/>
      <c r="BD1254" s="132"/>
      <c r="BE1254" s="132"/>
      <c r="BF1254" s="132"/>
      <c r="BG1254" s="132"/>
      <c r="BH1254" s="132"/>
      <c r="BI1254" s="132"/>
      <c r="BJ1254" s="132"/>
      <c r="BK1254" s="132"/>
      <c r="BL1254" s="132"/>
      <c r="BM1254" s="132"/>
      <c r="BN1254" s="132"/>
      <c r="BO1254" s="132"/>
    </row>
    <row r="1255" spans="1:67" s="269" customFormat="1" ht="19.5" customHeight="1" x14ac:dyDescent="0.2">
      <c r="A1255" s="163">
        <v>314</v>
      </c>
      <c r="B1255" s="164" t="s">
        <v>1730</v>
      </c>
      <c r="C1255" s="165"/>
      <c r="D1255" s="252" t="s">
        <v>107</v>
      </c>
      <c r="E1255" s="166"/>
      <c r="F1255" s="166"/>
      <c r="G1255" s="166"/>
      <c r="H1255" s="166" t="s">
        <v>137</v>
      </c>
      <c r="I1255" s="167" t="s">
        <v>1731</v>
      </c>
      <c r="J1255" s="168" t="s">
        <v>1721</v>
      </c>
      <c r="K1255" s="169">
        <f>K1258*40%</f>
        <v>9400</v>
      </c>
      <c r="L1255" s="170" t="s">
        <v>111</v>
      </c>
      <c r="M1255" s="171" t="s">
        <v>1732</v>
      </c>
      <c r="N1255" s="132"/>
      <c r="O1255" s="132"/>
      <c r="P1255" s="132"/>
      <c r="Q1255" s="132"/>
      <c r="R1255" s="132"/>
      <c r="S1255" s="132"/>
      <c r="T1255" s="132"/>
      <c r="U1255" s="132"/>
      <c r="V1255" s="132"/>
      <c r="W1255" s="132"/>
      <c r="X1255" s="132"/>
      <c r="Y1255" s="132"/>
      <c r="Z1255" s="132"/>
      <c r="AA1255" s="132"/>
      <c r="AB1255" s="132"/>
      <c r="AC1255" s="132"/>
      <c r="AD1255" s="132"/>
      <c r="AE1255" s="132"/>
      <c r="AF1255" s="132"/>
      <c r="AG1255" s="132"/>
      <c r="AH1255" s="132"/>
      <c r="AI1255" s="132"/>
      <c r="AJ1255" s="132"/>
      <c r="AK1255" s="132"/>
      <c r="AL1255" s="132"/>
      <c r="AM1255" s="132"/>
      <c r="AN1255" s="132"/>
      <c r="AO1255" s="132"/>
      <c r="AP1255" s="132"/>
      <c r="AQ1255" s="132"/>
      <c r="AR1255" s="132"/>
      <c r="AS1255" s="132"/>
      <c r="AT1255" s="132"/>
      <c r="AU1255" s="132"/>
      <c r="AV1255" s="132"/>
      <c r="AW1255" s="132"/>
      <c r="AX1255" s="132"/>
      <c r="AY1255" s="132"/>
      <c r="AZ1255" s="132"/>
      <c r="BA1255" s="132"/>
      <c r="BB1255" s="132"/>
      <c r="BC1255" s="132"/>
      <c r="BD1255" s="132"/>
      <c r="BE1255" s="132"/>
      <c r="BF1255" s="132"/>
      <c r="BG1255" s="132"/>
      <c r="BH1255" s="132"/>
      <c r="BI1255" s="132"/>
      <c r="BJ1255" s="132"/>
      <c r="BK1255" s="132"/>
      <c r="BL1255" s="132"/>
      <c r="BM1255" s="132"/>
      <c r="BN1255" s="132"/>
      <c r="BO1255" s="132"/>
    </row>
    <row r="1256" spans="1:67" s="269" customFormat="1" ht="19.5" customHeight="1" x14ac:dyDescent="0.2">
      <c r="A1256" s="173"/>
      <c r="B1256" s="174"/>
      <c r="C1256" s="175"/>
      <c r="D1256" s="245"/>
      <c r="E1256" s="176"/>
      <c r="F1256" s="176"/>
      <c r="G1256" s="176"/>
      <c r="H1256" s="176"/>
      <c r="I1256" s="177" t="s">
        <v>1733</v>
      </c>
      <c r="J1256" s="178" t="s">
        <v>1721</v>
      </c>
      <c r="K1256" s="208">
        <f>K1258*30%</f>
        <v>7050</v>
      </c>
      <c r="L1256" s="180"/>
      <c r="M1256" s="181"/>
      <c r="N1256" s="132"/>
      <c r="O1256" s="132"/>
      <c r="P1256" s="132"/>
      <c r="Q1256" s="132"/>
      <c r="R1256" s="132"/>
      <c r="S1256" s="132"/>
      <c r="T1256" s="132"/>
      <c r="U1256" s="132"/>
      <c r="V1256" s="132"/>
      <c r="W1256" s="132"/>
      <c r="X1256" s="132"/>
      <c r="Y1256" s="132"/>
      <c r="Z1256" s="132"/>
      <c r="AA1256" s="132"/>
      <c r="AB1256" s="132"/>
      <c r="AC1256" s="132"/>
      <c r="AD1256" s="132"/>
      <c r="AE1256" s="132"/>
      <c r="AF1256" s="132"/>
      <c r="AG1256" s="132"/>
      <c r="AH1256" s="132"/>
      <c r="AI1256" s="132"/>
      <c r="AJ1256" s="132"/>
      <c r="AK1256" s="132"/>
      <c r="AL1256" s="132"/>
      <c r="AM1256" s="132"/>
      <c r="AN1256" s="132"/>
      <c r="AO1256" s="132"/>
      <c r="AP1256" s="132"/>
      <c r="AQ1256" s="132"/>
      <c r="AR1256" s="132"/>
      <c r="AS1256" s="132"/>
      <c r="AT1256" s="132"/>
      <c r="AU1256" s="132"/>
      <c r="AV1256" s="132"/>
      <c r="AW1256" s="132"/>
      <c r="AX1256" s="132"/>
      <c r="AY1256" s="132"/>
      <c r="AZ1256" s="132"/>
      <c r="BA1256" s="132"/>
      <c r="BB1256" s="132"/>
      <c r="BC1256" s="132"/>
      <c r="BD1256" s="132"/>
      <c r="BE1256" s="132"/>
      <c r="BF1256" s="132"/>
      <c r="BG1256" s="132"/>
      <c r="BH1256" s="132"/>
      <c r="BI1256" s="132"/>
      <c r="BJ1256" s="132"/>
      <c r="BK1256" s="132"/>
      <c r="BL1256" s="132"/>
      <c r="BM1256" s="132"/>
      <c r="BN1256" s="132"/>
      <c r="BO1256" s="132"/>
    </row>
    <row r="1257" spans="1:67" s="269" customFormat="1" ht="19.5" customHeight="1" x14ac:dyDescent="0.2">
      <c r="A1257" s="173"/>
      <c r="B1257" s="174"/>
      <c r="C1257" s="175"/>
      <c r="D1257" s="245"/>
      <c r="E1257" s="176"/>
      <c r="F1257" s="176"/>
      <c r="G1257" s="176"/>
      <c r="H1257" s="176"/>
      <c r="I1257" s="177" t="s">
        <v>1734</v>
      </c>
      <c r="J1257" s="178" t="s">
        <v>1724</v>
      </c>
      <c r="K1257" s="208">
        <f>K1258*30%</f>
        <v>7050</v>
      </c>
      <c r="L1257" s="180"/>
      <c r="M1257" s="181"/>
      <c r="N1257" s="132"/>
      <c r="O1257" s="132"/>
      <c r="P1257" s="132"/>
      <c r="Q1257" s="132"/>
      <c r="R1257" s="132"/>
      <c r="S1257" s="132"/>
      <c r="T1257" s="132"/>
      <c r="U1257" s="132"/>
      <c r="V1257" s="132"/>
      <c r="W1257" s="132"/>
      <c r="X1257" s="132"/>
      <c r="Y1257" s="132"/>
      <c r="Z1257" s="132"/>
      <c r="AA1257" s="132"/>
      <c r="AB1257" s="132"/>
      <c r="AC1257" s="132"/>
      <c r="AD1257" s="132"/>
      <c r="AE1257" s="132"/>
      <c r="AF1257" s="132"/>
      <c r="AG1257" s="132"/>
      <c r="AH1257" s="132"/>
      <c r="AI1257" s="132"/>
      <c r="AJ1257" s="132"/>
      <c r="AK1257" s="132"/>
      <c r="AL1257" s="132"/>
      <c r="AM1257" s="132"/>
      <c r="AN1257" s="132"/>
      <c r="AO1257" s="132"/>
      <c r="AP1257" s="132"/>
      <c r="AQ1257" s="132"/>
      <c r="AR1257" s="132"/>
      <c r="AS1257" s="132"/>
      <c r="AT1257" s="132"/>
      <c r="AU1257" s="132"/>
      <c r="AV1257" s="132"/>
      <c r="AW1257" s="132"/>
      <c r="AX1257" s="132"/>
      <c r="AY1257" s="132"/>
      <c r="AZ1257" s="132"/>
      <c r="BA1257" s="132"/>
      <c r="BB1257" s="132"/>
      <c r="BC1257" s="132"/>
      <c r="BD1257" s="132"/>
      <c r="BE1257" s="132"/>
      <c r="BF1257" s="132"/>
      <c r="BG1257" s="132"/>
      <c r="BH1257" s="132"/>
      <c r="BI1257" s="132"/>
      <c r="BJ1257" s="132"/>
      <c r="BK1257" s="132"/>
      <c r="BL1257" s="132"/>
      <c r="BM1257" s="132"/>
      <c r="BN1257" s="132"/>
      <c r="BO1257" s="132"/>
    </row>
    <row r="1258" spans="1:67" s="269" customFormat="1" ht="19.5" customHeight="1" x14ac:dyDescent="0.2">
      <c r="A1258" s="185"/>
      <c r="B1258" s="186"/>
      <c r="C1258" s="187"/>
      <c r="D1258" s="246"/>
      <c r="E1258" s="188"/>
      <c r="F1258" s="188"/>
      <c r="G1258" s="188"/>
      <c r="H1258" s="188"/>
      <c r="I1258" s="202"/>
      <c r="J1258" s="215"/>
      <c r="K1258" s="209">
        <v>23500</v>
      </c>
      <c r="L1258" s="192"/>
      <c r="M1258" s="193"/>
      <c r="N1258" s="132"/>
      <c r="O1258" s="132"/>
      <c r="P1258" s="132"/>
      <c r="Q1258" s="132"/>
      <c r="R1258" s="132"/>
      <c r="S1258" s="132"/>
      <c r="T1258" s="132"/>
      <c r="U1258" s="132"/>
      <c r="V1258" s="132"/>
      <c r="W1258" s="132"/>
      <c r="X1258" s="132"/>
      <c r="Y1258" s="132"/>
      <c r="Z1258" s="132"/>
      <c r="AA1258" s="132"/>
      <c r="AB1258" s="132"/>
      <c r="AC1258" s="132"/>
      <c r="AD1258" s="132"/>
      <c r="AE1258" s="132"/>
      <c r="AF1258" s="132"/>
      <c r="AG1258" s="132"/>
      <c r="AH1258" s="132"/>
      <c r="AI1258" s="132"/>
      <c r="AJ1258" s="132"/>
      <c r="AK1258" s="132"/>
      <c r="AL1258" s="132"/>
      <c r="AM1258" s="132"/>
      <c r="AN1258" s="132"/>
      <c r="AO1258" s="132"/>
      <c r="AP1258" s="132"/>
      <c r="AQ1258" s="132"/>
      <c r="AR1258" s="132"/>
      <c r="AS1258" s="132"/>
      <c r="AT1258" s="132"/>
      <c r="AU1258" s="132"/>
      <c r="AV1258" s="132"/>
      <c r="AW1258" s="132"/>
      <c r="AX1258" s="132"/>
      <c r="AY1258" s="132"/>
      <c r="AZ1258" s="132"/>
      <c r="BA1258" s="132"/>
      <c r="BB1258" s="132"/>
      <c r="BC1258" s="132"/>
      <c r="BD1258" s="132"/>
      <c r="BE1258" s="132"/>
      <c r="BF1258" s="132"/>
      <c r="BG1258" s="132"/>
      <c r="BH1258" s="132"/>
      <c r="BI1258" s="132"/>
      <c r="BJ1258" s="132"/>
      <c r="BK1258" s="132"/>
      <c r="BL1258" s="132"/>
      <c r="BM1258" s="132"/>
      <c r="BN1258" s="132"/>
      <c r="BO1258" s="132"/>
    </row>
    <row r="1259" spans="1:67" ht="20.25" customHeight="1" x14ac:dyDescent="0.2">
      <c r="A1259" s="163">
        <v>315</v>
      </c>
      <c r="B1259" s="164" t="s">
        <v>1735</v>
      </c>
      <c r="C1259" s="165"/>
      <c r="D1259" s="252" t="s">
        <v>107</v>
      </c>
      <c r="E1259" s="166"/>
      <c r="F1259" s="166"/>
      <c r="G1259" s="166"/>
      <c r="H1259" s="166" t="s">
        <v>1421</v>
      </c>
      <c r="I1259" s="217" t="s">
        <v>1736</v>
      </c>
      <c r="J1259" s="194" t="s">
        <v>1721</v>
      </c>
      <c r="K1259" s="169">
        <f>K1266*5%</f>
        <v>900</v>
      </c>
      <c r="L1259" s="170" t="s">
        <v>111</v>
      </c>
      <c r="M1259" s="171" t="s">
        <v>1737</v>
      </c>
    </row>
    <row r="1260" spans="1:67" ht="20.25" customHeight="1" x14ac:dyDescent="0.2">
      <c r="A1260" s="173"/>
      <c r="B1260" s="174"/>
      <c r="C1260" s="175"/>
      <c r="D1260" s="245"/>
      <c r="E1260" s="176"/>
      <c r="F1260" s="176"/>
      <c r="G1260" s="176"/>
      <c r="H1260" s="176"/>
      <c r="I1260" s="276" t="s">
        <v>1738</v>
      </c>
      <c r="J1260" s="168" t="s">
        <v>1721</v>
      </c>
      <c r="K1260" s="230">
        <f>K1266*5%</f>
        <v>900</v>
      </c>
      <c r="L1260" s="180"/>
      <c r="M1260" s="181"/>
    </row>
    <row r="1261" spans="1:67" ht="20.25" customHeight="1" x14ac:dyDescent="0.2">
      <c r="A1261" s="173"/>
      <c r="B1261" s="174"/>
      <c r="C1261" s="175"/>
      <c r="D1261" s="245"/>
      <c r="E1261" s="176"/>
      <c r="F1261" s="176"/>
      <c r="G1261" s="176"/>
      <c r="H1261" s="176"/>
      <c r="I1261" s="276" t="s">
        <v>1739</v>
      </c>
      <c r="J1261" s="178" t="s">
        <v>1721</v>
      </c>
      <c r="K1261" s="208">
        <f>K1266*5%</f>
        <v>900</v>
      </c>
      <c r="L1261" s="180"/>
      <c r="M1261" s="181"/>
    </row>
    <row r="1262" spans="1:67" ht="20.25" customHeight="1" x14ac:dyDescent="0.2">
      <c r="A1262" s="173"/>
      <c r="B1262" s="174"/>
      <c r="C1262" s="175"/>
      <c r="D1262" s="245"/>
      <c r="E1262" s="176"/>
      <c r="F1262" s="176"/>
      <c r="G1262" s="176"/>
      <c r="H1262" s="176"/>
      <c r="I1262" s="276" t="s">
        <v>1740</v>
      </c>
      <c r="J1262" s="178" t="s">
        <v>1721</v>
      </c>
      <c r="K1262" s="201">
        <f>K1266*5%</f>
        <v>900</v>
      </c>
      <c r="L1262" s="180"/>
      <c r="M1262" s="181"/>
    </row>
    <row r="1263" spans="1:67" ht="20.25" customHeight="1" x14ac:dyDescent="0.2">
      <c r="A1263" s="173"/>
      <c r="B1263" s="174"/>
      <c r="C1263" s="175"/>
      <c r="D1263" s="245"/>
      <c r="E1263" s="176"/>
      <c r="F1263" s="176"/>
      <c r="G1263" s="176"/>
      <c r="H1263" s="176"/>
      <c r="I1263" s="167" t="s">
        <v>1741</v>
      </c>
      <c r="J1263" s="168" t="s">
        <v>1721</v>
      </c>
      <c r="K1263" s="230">
        <f>K1266*5%</f>
        <v>900</v>
      </c>
      <c r="L1263" s="180"/>
      <c r="M1263" s="181"/>
    </row>
    <row r="1264" spans="1:67" ht="20.25" customHeight="1" x14ac:dyDescent="0.2">
      <c r="A1264" s="173"/>
      <c r="B1264" s="174"/>
      <c r="C1264" s="175"/>
      <c r="D1264" s="245"/>
      <c r="E1264" s="176"/>
      <c r="F1264" s="176"/>
      <c r="G1264" s="176"/>
      <c r="H1264" s="176"/>
      <c r="I1264" s="184" t="s">
        <v>1742</v>
      </c>
      <c r="J1264" s="183" t="s">
        <v>1721</v>
      </c>
      <c r="K1264" s="201">
        <f>K1266*5%</f>
        <v>900</v>
      </c>
      <c r="L1264" s="180"/>
      <c r="M1264" s="181"/>
    </row>
    <row r="1265" spans="1:54" ht="20.25" customHeight="1" x14ac:dyDescent="0.2">
      <c r="A1265" s="173"/>
      <c r="B1265" s="174"/>
      <c r="C1265" s="175"/>
      <c r="D1265" s="245"/>
      <c r="E1265" s="176"/>
      <c r="F1265" s="176"/>
      <c r="G1265" s="176"/>
      <c r="H1265" s="176"/>
      <c r="I1265" s="184" t="s">
        <v>1743</v>
      </c>
      <c r="J1265" s="183" t="s">
        <v>1724</v>
      </c>
      <c r="K1265" s="179">
        <f>K1266*70%</f>
        <v>12600</v>
      </c>
      <c r="L1265" s="180"/>
      <c r="M1265" s="181"/>
    </row>
    <row r="1266" spans="1:54" ht="20.25" customHeight="1" x14ac:dyDescent="0.2">
      <c r="A1266" s="173"/>
      <c r="B1266" s="174"/>
      <c r="C1266" s="175"/>
      <c r="D1266" s="245"/>
      <c r="E1266" s="176"/>
      <c r="F1266" s="176"/>
      <c r="G1266" s="176"/>
      <c r="H1266" s="176"/>
      <c r="I1266" s="177"/>
      <c r="J1266" s="183"/>
      <c r="K1266" s="179">
        <v>18000</v>
      </c>
      <c r="L1266" s="180"/>
      <c r="M1266" s="181"/>
    </row>
    <row r="1267" spans="1:54" s="269" customFormat="1" ht="56.25" customHeight="1" x14ac:dyDescent="0.2">
      <c r="A1267" s="232">
        <v>316</v>
      </c>
      <c r="B1267" s="448" t="s">
        <v>1744</v>
      </c>
      <c r="C1267" s="448" t="s">
        <v>1744</v>
      </c>
      <c r="D1267" s="336" t="s">
        <v>107</v>
      </c>
      <c r="E1267" s="336"/>
      <c r="F1267" s="336"/>
      <c r="G1267" s="336"/>
      <c r="H1267" s="336"/>
      <c r="I1267" s="282" t="s">
        <v>1745</v>
      </c>
      <c r="J1267" s="283" t="s">
        <v>1724</v>
      </c>
      <c r="K1267" s="284">
        <v>20000</v>
      </c>
      <c r="L1267" s="282" t="s">
        <v>111</v>
      </c>
      <c r="M1267" s="282" t="s">
        <v>1746</v>
      </c>
      <c r="N1267" s="132"/>
      <c r="O1267" s="132"/>
      <c r="P1267" s="132"/>
      <c r="Q1267" s="132"/>
      <c r="R1267" s="132"/>
      <c r="S1267" s="132"/>
      <c r="T1267" s="132"/>
      <c r="U1267" s="132"/>
      <c r="V1267" s="132"/>
      <c r="W1267" s="132"/>
      <c r="X1267" s="132"/>
      <c r="Y1267" s="132"/>
      <c r="Z1267" s="132"/>
      <c r="AA1267" s="132"/>
      <c r="AB1267" s="132"/>
      <c r="AC1267" s="132"/>
      <c r="AD1267" s="132"/>
      <c r="AE1267" s="132"/>
      <c r="AF1267" s="132"/>
      <c r="AG1267" s="132"/>
      <c r="AH1267" s="132"/>
      <c r="AI1267" s="132"/>
      <c r="AJ1267" s="132"/>
      <c r="AK1267" s="132"/>
      <c r="AL1267" s="132"/>
      <c r="AM1267" s="132"/>
      <c r="AN1267" s="132"/>
      <c r="AO1267" s="132"/>
      <c r="AP1267" s="132"/>
      <c r="AQ1267" s="132"/>
      <c r="AR1267" s="132"/>
      <c r="AS1267" s="132"/>
      <c r="AT1267" s="132"/>
      <c r="AU1267" s="132"/>
      <c r="AV1267" s="132"/>
      <c r="AW1267" s="132"/>
      <c r="AX1267" s="132"/>
      <c r="AY1267" s="132"/>
      <c r="AZ1267" s="132"/>
      <c r="BA1267" s="132"/>
      <c r="BB1267" s="132"/>
    </row>
    <row r="1268" spans="1:54" ht="68.25" customHeight="1" x14ac:dyDescent="0.2">
      <c r="A1268" s="254">
        <v>317</v>
      </c>
      <c r="B1268" s="186" t="s">
        <v>1747</v>
      </c>
      <c r="C1268" s="187" t="s">
        <v>1747</v>
      </c>
      <c r="D1268" s="258" t="s">
        <v>163</v>
      </c>
      <c r="E1268" s="258"/>
      <c r="F1268" s="258"/>
      <c r="G1268" s="258"/>
      <c r="H1268" s="259"/>
      <c r="I1268" s="189" t="s">
        <v>1748</v>
      </c>
      <c r="J1268" s="215" t="s">
        <v>641</v>
      </c>
      <c r="K1268" s="209">
        <v>530000</v>
      </c>
      <c r="L1268" s="189" t="s">
        <v>166</v>
      </c>
      <c r="M1268" s="189" t="s">
        <v>1749</v>
      </c>
    </row>
    <row r="1269" spans="1:54" ht="78.75" customHeight="1" x14ac:dyDescent="0.2">
      <c r="A1269" s="232">
        <v>318</v>
      </c>
      <c r="B1269" s="255" t="s">
        <v>1750</v>
      </c>
      <c r="C1269" s="256" t="s">
        <v>1750</v>
      </c>
      <c r="D1269" s="258" t="s">
        <v>163</v>
      </c>
      <c r="E1269" s="258"/>
      <c r="F1269" s="258"/>
      <c r="G1269" s="258"/>
      <c r="H1269" s="259"/>
      <c r="I1269" s="189" t="s">
        <v>1748</v>
      </c>
      <c r="J1269" s="215" t="s">
        <v>641</v>
      </c>
      <c r="K1269" s="260">
        <v>530000</v>
      </c>
      <c r="L1269" s="282" t="s">
        <v>166</v>
      </c>
      <c r="M1269" s="189" t="s">
        <v>1751</v>
      </c>
    </row>
    <row r="1270" spans="1:54" ht="24" customHeight="1" x14ac:dyDescent="0.2">
      <c r="A1270" s="163">
        <v>319</v>
      </c>
      <c r="B1270" s="164" t="s">
        <v>1752</v>
      </c>
      <c r="C1270" s="165"/>
      <c r="D1270" s="166" t="s">
        <v>163</v>
      </c>
      <c r="E1270" s="166"/>
      <c r="F1270" s="166"/>
      <c r="G1270" s="166"/>
      <c r="H1270" s="166" t="s">
        <v>137</v>
      </c>
      <c r="I1270" s="217" t="s">
        <v>1753</v>
      </c>
      <c r="J1270" s="249" t="s">
        <v>999</v>
      </c>
      <c r="K1270" s="210">
        <f>450000*60%</f>
        <v>270000</v>
      </c>
      <c r="L1270" s="171" t="s">
        <v>166</v>
      </c>
      <c r="M1270" s="171" t="s">
        <v>1754</v>
      </c>
    </row>
    <row r="1271" spans="1:54" x14ac:dyDescent="0.2">
      <c r="A1271" s="173"/>
      <c r="B1271" s="174"/>
      <c r="C1271" s="175"/>
      <c r="D1271" s="176"/>
      <c r="E1271" s="176"/>
      <c r="F1271" s="176"/>
      <c r="G1271" s="176"/>
      <c r="H1271" s="176"/>
      <c r="I1271" s="184" t="s">
        <v>1755</v>
      </c>
      <c r="J1271" s="207" t="s">
        <v>599</v>
      </c>
      <c r="K1271" s="214">
        <f>450000*20%</f>
        <v>90000</v>
      </c>
      <c r="L1271" s="181"/>
      <c r="M1271" s="181"/>
    </row>
    <row r="1272" spans="1:54" x14ac:dyDescent="0.2">
      <c r="A1272" s="173"/>
      <c r="B1272" s="174"/>
      <c r="C1272" s="175"/>
      <c r="D1272" s="176"/>
      <c r="E1272" s="176"/>
      <c r="F1272" s="176"/>
      <c r="G1272" s="176"/>
      <c r="H1272" s="176"/>
      <c r="I1272" s="184" t="s">
        <v>1756</v>
      </c>
      <c r="J1272" s="207" t="s">
        <v>224</v>
      </c>
      <c r="K1272" s="214">
        <f>450000*10%</f>
        <v>45000</v>
      </c>
      <c r="L1272" s="181"/>
      <c r="M1272" s="181"/>
    </row>
    <row r="1273" spans="1:54" x14ac:dyDescent="0.2">
      <c r="A1273" s="185"/>
      <c r="B1273" s="186"/>
      <c r="C1273" s="187"/>
      <c r="D1273" s="188"/>
      <c r="E1273" s="188"/>
      <c r="F1273" s="188"/>
      <c r="G1273" s="188"/>
      <c r="H1273" s="188"/>
      <c r="I1273" s="202"/>
      <c r="J1273" s="203"/>
      <c r="K1273" s="211">
        <f>SUM(K1270:K1272)</f>
        <v>405000</v>
      </c>
      <c r="L1273" s="193"/>
      <c r="M1273" s="193"/>
    </row>
    <row r="1274" spans="1:54" ht="25.5" customHeight="1" x14ac:dyDescent="0.2">
      <c r="A1274" s="163">
        <v>320</v>
      </c>
      <c r="B1274" s="164" t="s">
        <v>1757</v>
      </c>
      <c r="C1274" s="165"/>
      <c r="D1274" s="166" t="s">
        <v>163</v>
      </c>
      <c r="E1274" s="166"/>
      <c r="F1274" s="166"/>
      <c r="G1274" s="166"/>
      <c r="H1274" s="166" t="s">
        <v>137</v>
      </c>
      <c r="I1274" s="276" t="s">
        <v>1758</v>
      </c>
      <c r="J1274" s="249" t="s">
        <v>1759</v>
      </c>
      <c r="K1274" s="210">
        <f>350150*60%</f>
        <v>210090</v>
      </c>
      <c r="L1274" s="171" t="s">
        <v>166</v>
      </c>
      <c r="M1274" s="171" t="s">
        <v>1760</v>
      </c>
    </row>
    <row r="1275" spans="1:54" x14ac:dyDescent="0.2">
      <c r="A1275" s="173"/>
      <c r="B1275" s="174"/>
      <c r="C1275" s="175"/>
      <c r="D1275" s="176"/>
      <c r="E1275" s="176"/>
      <c r="F1275" s="176"/>
      <c r="G1275" s="176"/>
      <c r="H1275" s="176"/>
      <c r="I1275" s="184" t="s">
        <v>1761</v>
      </c>
      <c r="J1275" s="207" t="s">
        <v>662</v>
      </c>
      <c r="K1275" s="214">
        <f>350150*20%</f>
        <v>70030</v>
      </c>
      <c r="L1275" s="181"/>
      <c r="M1275" s="181"/>
    </row>
    <row r="1276" spans="1:54" x14ac:dyDescent="0.2">
      <c r="A1276" s="173"/>
      <c r="B1276" s="174"/>
      <c r="C1276" s="175"/>
      <c r="D1276" s="176"/>
      <c r="E1276" s="176"/>
      <c r="F1276" s="176"/>
      <c r="G1276" s="176"/>
      <c r="H1276" s="176"/>
      <c r="I1276" s="184" t="s">
        <v>1762</v>
      </c>
      <c r="J1276" s="207" t="s">
        <v>662</v>
      </c>
      <c r="K1276" s="214">
        <f>350150*20%</f>
        <v>70030</v>
      </c>
      <c r="L1276" s="181"/>
      <c r="M1276" s="181"/>
    </row>
    <row r="1277" spans="1:54" x14ac:dyDescent="0.2">
      <c r="A1277" s="185"/>
      <c r="B1277" s="186"/>
      <c r="C1277" s="187"/>
      <c r="D1277" s="188"/>
      <c r="E1277" s="188"/>
      <c r="F1277" s="188"/>
      <c r="G1277" s="188"/>
      <c r="H1277" s="188"/>
      <c r="I1277" s="202"/>
      <c r="J1277" s="203"/>
      <c r="K1277" s="204">
        <f>SUM(K1274:K1276)</f>
        <v>350150</v>
      </c>
      <c r="L1277" s="193"/>
      <c r="M1277" s="193"/>
    </row>
    <row r="1278" spans="1:54" ht="24.75" customHeight="1" x14ac:dyDescent="0.2">
      <c r="A1278" s="163">
        <v>321</v>
      </c>
      <c r="B1278" s="164" t="s">
        <v>1763</v>
      </c>
      <c r="C1278" s="165"/>
      <c r="D1278" s="166" t="s">
        <v>163</v>
      </c>
      <c r="E1278" s="166"/>
      <c r="F1278" s="166"/>
      <c r="G1278" s="166"/>
      <c r="H1278" s="166" t="s">
        <v>137</v>
      </c>
      <c r="I1278" s="276" t="s">
        <v>1764</v>
      </c>
      <c r="J1278" s="249" t="s">
        <v>1765</v>
      </c>
      <c r="K1278" s="206">
        <f>70300*50%</f>
        <v>35150</v>
      </c>
      <c r="L1278" s="170" t="s">
        <v>166</v>
      </c>
      <c r="M1278" s="171" t="s">
        <v>1766</v>
      </c>
    </row>
    <row r="1279" spans="1:54" x14ac:dyDescent="0.2">
      <c r="A1279" s="173"/>
      <c r="B1279" s="174"/>
      <c r="C1279" s="175"/>
      <c r="D1279" s="176"/>
      <c r="E1279" s="176"/>
      <c r="F1279" s="176"/>
      <c r="G1279" s="176"/>
      <c r="H1279" s="176"/>
      <c r="I1279" s="184" t="s">
        <v>1767</v>
      </c>
      <c r="J1279" s="207" t="s">
        <v>641</v>
      </c>
      <c r="K1279" s="208">
        <f>70300*25%</f>
        <v>17575</v>
      </c>
      <c r="L1279" s="180"/>
      <c r="M1279" s="181"/>
    </row>
    <row r="1280" spans="1:54" x14ac:dyDescent="0.2">
      <c r="A1280" s="173"/>
      <c r="B1280" s="174"/>
      <c r="C1280" s="175"/>
      <c r="D1280" s="176"/>
      <c r="E1280" s="176"/>
      <c r="F1280" s="176"/>
      <c r="G1280" s="176"/>
      <c r="H1280" s="176"/>
      <c r="I1280" s="184" t="s">
        <v>1768</v>
      </c>
      <c r="J1280" s="207" t="s">
        <v>641</v>
      </c>
      <c r="K1280" s="208">
        <f>70300*25%</f>
        <v>17575</v>
      </c>
      <c r="L1280" s="180"/>
      <c r="M1280" s="181"/>
    </row>
    <row r="1281" spans="1:13" x14ac:dyDescent="0.2">
      <c r="A1281" s="185"/>
      <c r="B1281" s="186"/>
      <c r="C1281" s="187"/>
      <c r="D1281" s="188"/>
      <c r="E1281" s="188"/>
      <c r="F1281" s="188"/>
      <c r="G1281" s="188"/>
      <c r="H1281" s="188"/>
      <c r="I1281" s="202"/>
      <c r="J1281" s="203"/>
      <c r="K1281" s="191">
        <f>SUM(K1278:K1280)</f>
        <v>70300</v>
      </c>
      <c r="L1281" s="192"/>
      <c r="M1281" s="193"/>
    </row>
    <row r="1282" spans="1:13" ht="24.75" customHeight="1" x14ac:dyDescent="0.2">
      <c r="A1282" s="163">
        <v>322</v>
      </c>
      <c r="B1282" s="164" t="s">
        <v>1769</v>
      </c>
      <c r="C1282" s="165"/>
      <c r="D1282" s="166" t="s">
        <v>163</v>
      </c>
      <c r="E1282" s="166"/>
      <c r="F1282" s="166"/>
      <c r="G1282" s="166"/>
      <c r="H1282" s="166" t="s">
        <v>137</v>
      </c>
      <c r="I1282" s="276" t="s">
        <v>1770</v>
      </c>
      <c r="J1282" s="249" t="s">
        <v>999</v>
      </c>
      <c r="K1282" s="210">
        <f>70300*60%</f>
        <v>42180</v>
      </c>
      <c r="L1282" s="171" t="s">
        <v>166</v>
      </c>
      <c r="M1282" s="171" t="s">
        <v>1771</v>
      </c>
    </row>
    <row r="1283" spans="1:13" x14ac:dyDescent="0.2">
      <c r="A1283" s="173"/>
      <c r="B1283" s="174"/>
      <c r="C1283" s="175"/>
      <c r="D1283" s="176"/>
      <c r="E1283" s="176"/>
      <c r="F1283" s="176"/>
      <c r="G1283" s="176"/>
      <c r="H1283" s="176"/>
      <c r="I1283" s="184" t="s">
        <v>1772</v>
      </c>
      <c r="J1283" s="207" t="s">
        <v>641</v>
      </c>
      <c r="K1283" s="214">
        <f>70300*20%</f>
        <v>14060</v>
      </c>
      <c r="L1283" s="181"/>
      <c r="M1283" s="181"/>
    </row>
    <row r="1284" spans="1:13" x14ac:dyDescent="0.2">
      <c r="A1284" s="173"/>
      <c r="B1284" s="174"/>
      <c r="C1284" s="175"/>
      <c r="D1284" s="176"/>
      <c r="E1284" s="176"/>
      <c r="F1284" s="176"/>
      <c r="G1284" s="176"/>
      <c r="H1284" s="176"/>
      <c r="I1284" s="184" t="s">
        <v>1773</v>
      </c>
      <c r="J1284" s="207" t="s">
        <v>641</v>
      </c>
      <c r="K1284" s="214">
        <f>70300*20%</f>
        <v>14060</v>
      </c>
      <c r="L1284" s="181"/>
      <c r="M1284" s="181"/>
    </row>
    <row r="1285" spans="1:13" x14ac:dyDescent="0.2">
      <c r="A1285" s="185"/>
      <c r="B1285" s="186"/>
      <c r="C1285" s="187"/>
      <c r="D1285" s="188"/>
      <c r="E1285" s="188"/>
      <c r="F1285" s="188"/>
      <c r="G1285" s="188"/>
      <c r="H1285" s="188"/>
      <c r="I1285" s="202"/>
      <c r="J1285" s="203"/>
      <c r="K1285" s="211">
        <f>SUM(K1282:K1284)</f>
        <v>70300</v>
      </c>
      <c r="L1285" s="193"/>
      <c r="M1285" s="193"/>
    </row>
    <row r="1286" spans="1:13" ht="24.75" customHeight="1" x14ac:dyDescent="0.2">
      <c r="A1286" s="163">
        <v>323</v>
      </c>
      <c r="B1286" s="164" t="s">
        <v>1774</v>
      </c>
      <c r="C1286" s="165"/>
      <c r="D1286" s="166" t="s">
        <v>163</v>
      </c>
      <c r="E1286" s="166"/>
      <c r="F1286" s="166"/>
      <c r="G1286" s="166"/>
      <c r="H1286" s="166" t="s">
        <v>108</v>
      </c>
      <c r="I1286" s="276" t="s">
        <v>1775</v>
      </c>
      <c r="J1286" s="249" t="s">
        <v>1759</v>
      </c>
      <c r="K1286" s="206">
        <f>70300*60%</f>
        <v>42180</v>
      </c>
      <c r="L1286" s="170" t="s">
        <v>166</v>
      </c>
      <c r="M1286" s="171" t="s">
        <v>1776</v>
      </c>
    </row>
    <row r="1287" spans="1:13" x14ac:dyDescent="0.2">
      <c r="A1287" s="173"/>
      <c r="B1287" s="174"/>
      <c r="C1287" s="175"/>
      <c r="D1287" s="176"/>
      <c r="E1287" s="176"/>
      <c r="F1287" s="176"/>
      <c r="G1287" s="176"/>
      <c r="H1287" s="176"/>
      <c r="I1287" s="184" t="s">
        <v>1777</v>
      </c>
      <c r="J1287" s="207" t="s">
        <v>1575</v>
      </c>
      <c r="K1287" s="208">
        <f>70300*15%</f>
        <v>10545</v>
      </c>
      <c r="L1287" s="180"/>
      <c r="M1287" s="181"/>
    </row>
    <row r="1288" spans="1:13" x14ac:dyDescent="0.2">
      <c r="A1288" s="173"/>
      <c r="B1288" s="174"/>
      <c r="C1288" s="175"/>
      <c r="D1288" s="176"/>
      <c r="E1288" s="176"/>
      <c r="F1288" s="176"/>
      <c r="G1288" s="176"/>
      <c r="H1288" s="176"/>
      <c r="I1288" s="184" t="s">
        <v>1778</v>
      </c>
      <c r="J1288" s="207" t="s">
        <v>641</v>
      </c>
      <c r="K1288" s="208">
        <f>70300*15%</f>
        <v>10545</v>
      </c>
      <c r="L1288" s="180"/>
      <c r="M1288" s="181"/>
    </row>
    <row r="1289" spans="1:13" x14ac:dyDescent="0.2">
      <c r="A1289" s="173"/>
      <c r="B1289" s="174"/>
      <c r="C1289" s="175"/>
      <c r="D1289" s="176"/>
      <c r="E1289" s="176"/>
      <c r="F1289" s="176"/>
      <c r="G1289" s="176"/>
      <c r="H1289" s="176"/>
      <c r="I1289" s="184" t="s">
        <v>1779</v>
      </c>
      <c r="J1289" s="207" t="s">
        <v>641</v>
      </c>
      <c r="K1289" s="208">
        <f>70300*10%</f>
        <v>7030</v>
      </c>
      <c r="L1289" s="180"/>
      <c r="M1289" s="181"/>
    </row>
    <row r="1290" spans="1:13" x14ac:dyDescent="0.2">
      <c r="A1290" s="185"/>
      <c r="B1290" s="186"/>
      <c r="C1290" s="187"/>
      <c r="D1290" s="188"/>
      <c r="E1290" s="188"/>
      <c r="F1290" s="188"/>
      <c r="G1290" s="188"/>
      <c r="H1290" s="188"/>
      <c r="I1290" s="202"/>
      <c r="J1290" s="203"/>
      <c r="K1290" s="191">
        <f>SUM(K1286:K1289)</f>
        <v>70300</v>
      </c>
      <c r="L1290" s="192"/>
      <c r="M1290" s="193"/>
    </row>
    <row r="1291" spans="1:13" ht="24" customHeight="1" x14ac:dyDescent="0.2">
      <c r="A1291" s="163">
        <v>324</v>
      </c>
      <c r="B1291" s="164" t="s">
        <v>1780</v>
      </c>
      <c r="C1291" s="165"/>
      <c r="D1291" s="166" t="s">
        <v>163</v>
      </c>
      <c r="E1291" s="166"/>
      <c r="F1291" s="166"/>
      <c r="G1291" s="166"/>
      <c r="H1291" s="166"/>
      <c r="I1291" s="276" t="s">
        <v>1781</v>
      </c>
      <c r="J1291" s="249" t="s">
        <v>999</v>
      </c>
      <c r="K1291" s="206">
        <f>251223*70%</f>
        <v>175856.09999999998</v>
      </c>
      <c r="L1291" s="170" t="s">
        <v>166</v>
      </c>
      <c r="M1291" s="171" t="s">
        <v>1782</v>
      </c>
    </row>
    <row r="1292" spans="1:13" x14ac:dyDescent="0.2">
      <c r="A1292" s="173"/>
      <c r="B1292" s="174"/>
      <c r="C1292" s="175"/>
      <c r="D1292" s="176"/>
      <c r="E1292" s="176"/>
      <c r="F1292" s="176"/>
      <c r="G1292" s="176"/>
      <c r="H1292" s="176"/>
      <c r="I1292" s="184" t="s">
        <v>1783</v>
      </c>
      <c r="J1292" s="207" t="s">
        <v>641</v>
      </c>
      <c r="K1292" s="208">
        <f t="shared" ref="K1292:K1297" si="27">251223*5%</f>
        <v>12561.150000000001</v>
      </c>
      <c r="L1292" s="180"/>
      <c r="M1292" s="181"/>
    </row>
    <row r="1293" spans="1:13" x14ac:dyDescent="0.2">
      <c r="A1293" s="173"/>
      <c r="B1293" s="174"/>
      <c r="C1293" s="175"/>
      <c r="D1293" s="176"/>
      <c r="E1293" s="176"/>
      <c r="F1293" s="176"/>
      <c r="G1293" s="176"/>
      <c r="H1293" s="176"/>
      <c r="I1293" s="184" t="s">
        <v>1784</v>
      </c>
      <c r="J1293" s="207" t="s">
        <v>641</v>
      </c>
      <c r="K1293" s="208">
        <f t="shared" si="27"/>
        <v>12561.150000000001</v>
      </c>
      <c r="L1293" s="180"/>
      <c r="M1293" s="181"/>
    </row>
    <row r="1294" spans="1:13" x14ac:dyDescent="0.2">
      <c r="A1294" s="173"/>
      <c r="B1294" s="174"/>
      <c r="C1294" s="175"/>
      <c r="D1294" s="176"/>
      <c r="E1294" s="176"/>
      <c r="F1294" s="176"/>
      <c r="G1294" s="176"/>
      <c r="H1294" s="176"/>
      <c r="I1294" s="184" t="s">
        <v>1785</v>
      </c>
      <c r="J1294" s="207" t="s">
        <v>641</v>
      </c>
      <c r="K1294" s="208">
        <f t="shared" si="27"/>
        <v>12561.150000000001</v>
      </c>
      <c r="L1294" s="180"/>
      <c r="M1294" s="181"/>
    </row>
    <row r="1295" spans="1:13" x14ac:dyDescent="0.2">
      <c r="A1295" s="173"/>
      <c r="B1295" s="174"/>
      <c r="C1295" s="175"/>
      <c r="D1295" s="176"/>
      <c r="E1295" s="176"/>
      <c r="F1295" s="176"/>
      <c r="G1295" s="176"/>
      <c r="H1295" s="176"/>
      <c r="I1295" s="184" t="s">
        <v>1786</v>
      </c>
      <c r="J1295" s="207" t="s">
        <v>641</v>
      </c>
      <c r="K1295" s="208">
        <f t="shared" si="27"/>
        <v>12561.150000000001</v>
      </c>
      <c r="L1295" s="180"/>
      <c r="M1295" s="181"/>
    </row>
    <row r="1296" spans="1:13" x14ac:dyDescent="0.2">
      <c r="A1296" s="173"/>
      <c r="B1296" s="174"/>
      <c r="C1296" s="175"/>
      <c r="D1296" s="176"/>
      <c r="E1296" s="176"/>
      <c r="F1296" s="176"/>
      <c r="G1296" s="176"/>
      <c r="H1296" s="176"/>
      <c r="I1296" s="184" t="s">
        <v>1787</v>
      </c>
      <c r="J1296" s="207" t="s">
        <v>399</v>
      </c>
      <c r="K1296" s="208">
        <f t="shared" si="27"/>
        <v>12561.150000000001</v>
      </c>
      <c r="L1296" s="180"/>
      <c r="M1296" s="181"/>
    </row>
    <row r="1297" spans="1:13" x14ac:dyDescent="0.2">
      <c r="A1297" s="173"/>
      <c r="B1297" s="174"/>
      <c r="C1297" s="175"/>
      <c r="D1297" s="176"/>
      <c r="E1297" s="176"/>
      <c r="F1297" s="176"/>
      <c r="G1297" s="176"/>
      <c r="H1297" s="176"/>
      <c r="I1297" s="184" t="s">
        <v>1788</v>
      </c>
      <c r="J1297" s="207" t="s">
        <v>641</v>
      </c>
      <c r="K1297" s="208">
        <f t="shared" si="27"/>
        <v>12561.150000000001</v>
      </c>
      <c r="L1297" s="180"/>
      <c r="M1297" s="181"/>
    </row>
    <row r="1298" spans="1:13" x14ac:dyDescent="0.2">
      <c r="A1298" s="185"/>
      <c r="B1298" s="186"/>
      <c r="C1298" s="187"/>
      <c r="D1298" s="188"/>
      <c r="E1298" s="188"/>
      <c r="F1298" s="188"/>
      <c r="G1298" s="188"/>
      <c r="H1298" s="188"/>
      <c r="I1298" s="202"/>
      <c r="J1298" s="203"/>
      <c r="K1298" s="191">
        <f>SUM(K1291:K1297)</f>
        <v>251222.99999999994</v>
      </c>
      <c r="L1298" s="192"/>
      <c r="M1298" s="193"/>
    </row>
    <row r="1299" spans="1:13" ht="24" customHeight="1" x14ac:dyDescent="0.2">
      <c r="A1299" s="163">
        <v>325</v>
      </c>
      <c r="B1299" s="164" t="s">
        <v>1789</v>
      </c>
      <c r="C1299" s="165"/>
      <c r="D1299" s="166" t="s">
        <v>163</v>
      </c>
      <c r="E1299" s="166"/>
      <c r="F1299" s="166"/>
      <c r="G1299" s="166"/>
      <c r="H1299" s="166" t="s">
        <v>983</v>
      </c>
      <c r="I1299" s="276" t="s">
        <v>1790</v>
      </c>
      <c r="J1299" s="249" t="s">
        <v>999</v>
      </c>
      <c r="K1299" s="206">
        <f>20800*70%</f>
        <v>14559.999999999998</v>
      </c>
      <c r="L1299" s="170" t="s">
        <v>166</v>
      </c>
      <c r="M1299" s="171" t="s">
        <v>1791</v>
      </c>
    </row>
    <row r="1300" spans="1:13" x14ac:dyDescent="0.2">
      <c r="A1300" s="173"/>
      <c r="B1300" s="174"/>
      <c r="C1300" s="175"/>
      <c r="D1300" s="176"/>
      <c r="E1300" s="176"/>
      <c r="F1300" s="176"/>
      <c r="G1300" s="176"/>
      <c r="H1300" s="176"/>
      <c r="I1300" s="184" t="s">
        <v>1792</v>
      </c>
      <c r="J1300" s="207" t="s">
        <v>599</v>
      </c>
      <c r="K1300" s="208">
        <f>20800*10%</f>
        <v>2080</v>
      </c>
      <c r="L1300" s="180"/>
      <c r="M1300" s="181"/>
    </row>
    <row r="1301" spans="1:13" x14ac:dyDescent="0.2">
      <c r="A1301" s="173"/>
      <c r="B1301" s="174"/>
      <c r="C1301" s="175"/>
      <c r="D1301" s="176"/>
      <c r="E1301" s="176"/>
      <c r="F1301" s="176"/>
      <c r="G1301" s="176"/>
      <c r="H1301" s="176"/>
      <c r="I1301" s="184" t="s">
        <v>1793</v>
      </c>
      <c r="J1301" s="207" t="s">
        <v>641</v>
      </c>
      <c r="K1301" s="208">
        <f>20800*10%</f>
        <v>2080</v>
      </c>
      <c r="L1301" s="180"/>
      <c r="M1301" s="181"/>
    </row>
    <row r="1302" spans="1:13" x14ac:dyDescent="0.2">
      <c r="A1302" s="173"/>
      <c r="B1302" s="174"/>
      <c r="C1302" s="175"/>
      <c r="D1302" s="176"/>
      <c r="E1302" s="176"/>
      <c r="F1302" s="176"/>
      <c r="G1302" s="176"/>
      <c r="H1302" s="176"/>
      <c r="I1302" s="184" t="s">
        <v>1794</v>
      </c>
      <c r="J1302" s="207" t="s">
        <v>275</v>
      </c>
      <c r="K1302" s="208">
        <f>20800*5%</f>
        <v>1040</v>
      </c>
      <c r="L1302" s="180"/>
      <c r="M1302" s="181"/>
    </row>
    <row r="1303" spans="1:13" x14ac:dyDescent="0.2">
      <c r="A1303" s="173"/>
      <c r="B1303" s="174"/>
      <c r="C1303" s="175"/>
      <c r="D1303" s="176"/>
      <c r="E1303" s="176"/>
      <c r="F1303" s="176"/>
      <c r="G1303" s="176"/>
      <c r="H1303" s="176"/>
      <c r="I1303" s="184" t="s">
        <v>713</v>
      </c>
      <c r="J1303" s="207" t="s">
        <v>681</v>
      </c>
      <c r="K1303" s="208">
        <f>20800*5%</f>
        <v>1040</v>
      </c>
      <c r="L1303" s="180"/>
      <c r="M1303" s="181"/>
    </row>
    <row r="1304" spans="1:13" x14ac:dyDescent="0.2">
      <c r="A1304" s="185"/>
      <c r="B1304" s="186"/>
      <c r="C1304" s="187"/>
      <c r="D1304" s="188"/>
      <c r="E1304" s="188"/>
      <c r="F1304" s="188"/>
      <c r="G1304" s="188"/>
      <c r="H1304" s="188"/>
      <c r="I1304" s="202"/>
      <c r="J1304" s="203"/>
      <c r="K1304" s="191">
        <f>SUM(K1299:K1303)</f>
        <v>20800</v>
      </c>
      <c r="L1304" s="192"/>
      <c r="M1304" s="193"/>
    </row>
    <row r="1305" spans="1:13" ht="20.25" customHeight="1" x14ac:dyDescent="0.2">
      <c r="A1305" s="163">
        <v>326</v>
      </c>
      <c r="B1305" s="164" t="s">
        <v>1795</v>
      </c>
      <c r="C1305" s="165"/>
      <c r="D1305" s="166" t="s">
        <v>163</v>
      </c>
      <c r="E1305" s="166"/>
      <c r="F1305" s="166"/>
      <c r="G1305" s="166"/>
      <c r="H1305" s="166"/>
      <c r="I1305" s="276" t="s">
        <v>1796</v>
      </c>
      <c r="J1305" s="249" t="s">
        <v>999</v>
      </c>
      <c r="K1305" s="213">
        <f>80500*70%</f>
        <v>56350</v>
      </c>
      <c r="L1305" s="171" t="s">
        <v>166</v>
      </c>
      <c r="M1305" s="171" t="s">
        <v>1797</v>
      </c>
    </row>
    <row r="1306" spans="1:13" ht="20.25" customHeight="1" x14ac:dyDescent="0.2">
      <c r="A1306" s="173"/>
      <c r="B1306" s="174"/>
      <c r="C1306" s="175"/>
      <c r="D1306" s="176"/>
      <c r="E1306" s="176"/>
      <c r="F1306" s="176"/>
      <c r="G1306" s="176"/>
      <c r="H1306" s="176"/>
      <c r="I1306" s="184" t="s">
        <v>1798</v>
      </c>
      <c r="J1306" s="207" t="s">
        <v>641</v>
      </c>
      <c r="K1306" s="200">
        <f>80500*15%</f>
        <v>12075</v>
      </c>
      <c r="L1306" s="181"/>
      <c r="M1306" s="181"/>
    </row>
    <row r="1307" spans="1:13" ht="20.25" customHeight="1" x14ac:dyDescent="0.2">
      <c r="A1307" s="173"/>
      <c r="B1307" s="174"/>
      <c r="C1307" s="175"/>
      <c r="D1307" s="176"/>
      <c r="E1307" s="176"/>
      <c r="F1307" s="176"/>
      <c r="G1307" s="176"/>
      <c r="H1307" s="176"/>
      <c r="I1307" s="184" t="s">
        <v>1799</v>
      </c>
      <c r="J1307" s="207" t="s">
        <v>599</v>
      </c>
      <c r="K1307" s="200">
        <f>80500*15%</f>
        <v>12075</v>
      </c>
      <c r="L1307" s="181"/>
      <c r="M1307" s="181"/>
    </row>
    <row r="1308" spans="1:13" ht="20.25" customHeight="1" x14ac:dyDescent="0.2">
      <c r="A1308" s="185"/>
      <c r="B1308" s="186"/>
      <c r="C1308" s="187"/>
      <c r="D1308" s="188"/>
      <c r="E1308" s="188"/>
      <c r="F1308" s="188"/>
      <c r="G1308" s="188"/>
      <c r="H1308" s="188"/>
      <c r="I1308" s="202"/>
      <c r="J1308" s="203"/>
      <c r="K1308" s="211">
        <f>SUM(K1305:K1307)</f>
        <v>80500</v>
      </c>
      <c r="L1308" s="193"/>
      <c r="M1308" s="193"/>
    </row>
    <row r="1309" spans="1:13" ht="22.5" customHeight="1" x14ac:dyDescent="0.2">
      <c r="A1309" s="163">
        <v>327</v>
      </c>
      <c r="B1309" s="164" t="s">
        <v>1800</v>
      </c>
      <c r="C1309" s="165"/>
      <c r="D1309" s="166" t="s">
        <v>163</v>
      </c>
      <c r="E1309" s="166"/>
      <c r="F1309" s="166"/>
      <c r="G1309" s="166"/>
      <c r="H1309" s="166" t="s">
        <v>137</v>
      </c>
      <c r="I1309" s="276" t="s">
        <v>1790</v>
      </c>
      <c r="J1309" s="249" t="s">
        <v>999</v>
      </c>
      <c r="K1309" s="213">
        <f>501000*70%</f>
        <v>350700</v>
      </c>
      <c r="L1309" s="171" t="s">
        <v>166</v>
      </c>
      <c r="M1309" s="171" t="s">
        <v>1801</v>
      </c>
    </row>
    <row r="1310" spans="1:13" x14ac:dyDescent="0.2">
      <c r="A1310" s="173"/>
      <c r="B1310" s="174"/>
      <c r="C1310" s="175"/>
      <c r="D1310" s="176"/>
      <c r="E1310" s="176"/>
      <c r="F1310" s="176"/>
      <c r="G1310" s="176"/>
      <c r="H1310" s="176"/>
      <c r="I1310" s="184" t="s">
        <v>1799</v>
      </c>
      <c r="J1310" s="207" t="s">
        <v>599</v>
      </c>
      <c r="K1310" s="200">
        <f>501000*15%</f>
        <v>75150</v>
      </c>
      <c r="L1310" s="181"/>
      <c r="M1310" s="181"/>
    </row>
    <row r="1311" spans="1:13" x14ac:dyDescent="0.2">
      <c r="A1311" s="173"/>
      <c r="B1311" s="174"/>
      <c r="C1311" s="175"/>
      <c r="D1311" s="176"/>
      <c r="E1311" s="176"/>
      <c r="F1311" s="176"/>
      <c r="G1311" s="176"/>
      <c r="H1311" s="176"/>
      <c r="I1311" s="184" t="s">
        <v>1802</v>
      </c>
      <c r="J1311" s="207" t="s">
        <v>641</v>
      </c>
      <c r="K1311" s="200">
        <f>501000*15%</f>
        <v>75150</v>
      </c>
      <c r="L1311" s="181"/>
      <c r="M1311" s="181"/>
    </row>
    <row r="1312" spans="1:13" x14ac:dyDescent="0.2">
      <c r="A1312" s="185"/>
      <c r="B1312" s="186"/>
      <c r="C1312" s="187"/>
      <c r="D1312" s="188"/>
      <c r="E1312" s="188"/>
      <c r="F1312" s="188"/>
      <c r="G1312" s="188"/>
      <c r="H1312" s="188"/>
      <c r="I1312" s="202"/>
      <c r="J1312" s="203"/>
      <c r="K1312" s="211">
        <f>SUM(K1309:K1311)</f>
        <v>501000</v>
      </c>
      <c r="L1312" s="193"/>
      <c r="M1312" s="193"/>
    </row>
    <row r="1313" spans="1:13" ht="24" customHeight="1" x14ac:dyDescent="0.2">
      <c r="A1313" s="163">
        <v>328</v>
      </c>
      <c r="B1313" s="164" t="s">
        <v>1803</v>
      </c>
      <c r="C1313" s="165"/>
      <c r="D1313" s="166" t="s">
        <v>163</v>
      </c>
      <c r="E1313" s="166"/>
      <c r="F1313" s="166"/>
      <c r="G1313" s="166"/>
      <c r="H1313" s="166" t="s">
        <v>1421</v>
      </c>
      <c r="I1313" s="276" t="s">
        <v>1804</v>
      </c>
      <c r="J1313" s="249" t="s">
        <v>999</v>
      </c>
      <c r="K1313" s="206">
        <f>179400*50%</f>
        <v>89700</v>
      </c>
      <c r="L1313" s="170" t="s">
        <v>166</v>
      </c>
      <c r="M1313" s="171" t="s">
        <v>1805</v>
      </c>
    </row>
    <row r="1314" spans="1:13" ht="21" customHeight="1" x14ac:dyDescent="0.2">
      <c r="A1314" s="173"/>
      <c r="B1314" s="174"/>
      <c r="C1314" s="175"/>
      <c r="D1314" s="176"/>
      <c r="E1314" s="176"/>
      <c r="F1314" s="176"/>
      <c r="G1314" s="176"/>
      <c r="H1314" s="176"/>
      <c r="I1314" s="184" t="s">
        <v>1806</v>
      </c>
      <c r="J1314" s="207" t="s">
        <v>641</v>
      </c>
      <c r="K1314" s="208">
        <f>179400*10%</f>
        <v>17940</v>
      </c>
      <c r="L1314" s="180"/>
      <c r="M1314" s="181"/>
    </row>
    <row r="1315" spans="1:13" x14ac:dyDescent="0.2">
      <c r="A1315" s="173"/>
      <c r="B1315" s="174"/>
      <c r="C1315" s="175"/>
      <c r="D1315" s="176"/>
      <c r="E1315" s="176"/>
      <c r="F1315" s="176"/>
      <c r="G1315" s="176"/>
      <c r="H1315" s="176"/>
      <c r="I1315" s="184" t="s">
        <v>1807</v>
      </c>
      <c r="J1315" s="207" t="s">
        <v>641</v>
      </c>
      <c r="K1315" s="208">
        <f>179400*10%</f>
        <v>17940</v>
      </c>
      <c r="L1315" s="180"/>
      <c r="M1315" s="181"/>
    </row>
    <row r="1316" spans="1:13" x14ac:dyDescent="0.2">
      <c r="A1316" s="173"/>
      <c r="B1316" s="174"/>
      <c r="C1316" s="175"/>
      <c r="D1316" s="176"/>
      <c r="E1316" s="176"/>
      <c r="F1316" s="176"/>
      <c r="G1316" s="176"/>
      <c r="H1316" s="176"/>
      <c r="I1316" s="184" t="s">
        <v>1808</v>
      </c>
      <c r="J1316" s="207" t="s">
        <v>641</v>
      </c>
      <c r="K1316" s="208">
        <f>179400*5%</f>
        <v>8970</v>
      </c>
      <c r="L1316" s="180"/>
      <c r="M1316" s="181"/>
    </row>
    <row r="1317" spans="1:13" x14ac:dyDescent="0.2">
      <c r="A1317" s="173"/>
      <c r="B1317" s="174"/>
      <c r="C1317" s="175"/>
      <c r="D1317" s="176"/>
      <c r="E1317" s="176"/>
      <c r="F1317" s="176"/>
      <c r="G1317" s="176"/>
      <c r="H1317" s="176"/>
      <c r="I1317" s="184" t="s">
        <v>1809</v>
      </c>
      <c r="J1317" s="207" t="s">
        <v>641</v>
      </c>
      <c r="K1317" s="208">
        <f>179400*5%</f>
        <v>8970</v>
      </c>
      <c r="L1317" s="180"/>
      <c r="M1317" s="181"/>
    </row>
    <row r="1318" spans="1:13" x14ac:dyDescent="0.2">
      <c r="A1318" s="173"/>
      <c r="B1318" s="174"/>
      <c r="C1318" s="175"/>
      <c r="D1318" s="176"/>
      <c r="E1318" s="176"/>
      <c r="F1318" s="176"/>
      <c r="G1318" s="176"/>
      <c r="H1318" s="176"/>
      <c r="I1318" s="184" t="s">
        <v>1810</v>
      </c>
      <c r="J1318" s="207" t="s">
        <v>641</v>
      </c>
      <c r="K1318" s="208">
        <f>179400*10%</f>
        <v>17940</v>
      </c>
      <c r="L1318" s="180"/>
      <c r="M1318" s="181"/>
    </row>
    <row r="1319" spans="1:13" x14ac:dyDescent="0.2">
      <c r="A1319" s="173"/>
      <c r="B1319" s="174"/>
      <c r="C1319" s="175"/>
      <c r="D1319" s="176"/>
      <c r="E1319" s="176"/>
      <c r="F1319" s="176"/>
      <c r="G1319" s="176"/>
      <c r="H1319" s="176"/>
      <c r="I1319" s="184" t="s">
        <v>1811</v>
      </c>
      <c r="J1319" s="207" t="s">
        <v>641</v>
      </c>
      <c r="K1319" s="208">
        <f>179400*5%</f>
        <v>8970</v>
      </c>
      <c r="L1319" s="180"/>
      <c r="M1319" s="181"/>
    </row>
    <row r="1320" spans="1:13" x14ac:dyDescent="0.2">
      <c r="A1320" s="173"/>
      <c r="B1320" s="174"/>
      <c r="C1320" s="175"/>
      <c r="D1320" s="176"/>
      <c r="E1320" s="176"/>
      <c r="F1320" s="176"/>
      <c r="G1320" s="176"/>
      <c r="H1320" s="176"/>
      <c r="I1320" s="184" t="s">
        <v>1812</v>
      </c>
      <c r="J1320" s="207" t="s">
        <v>641</v>
      </c>
      <c r="K1320" s="208">
        <f>179400*5%</f>
        <v>8970</v>
      </c>
      <c r="L1320" s="180"/>
      <c r="M1320" s="181"/>
    </row>
    <row r="1321" spans="1:13" x14ac:dyDescent="0.2">
      <c r="A1321" s="185"/>
      <c r="B1321" s="186"/>
      <c r="C1321" s="187"/>
      <c r="D1321" s="188"/>
      <c r="E1321" s="188"/>
      <c r="F1321" s="188"/>
      <c r="G1321" s="188"/>
      <c r="H1321" s="188"/>
      <c r="I1321" s="202"/>
      <c r="J1321" s="203"/>
      <c r="K1321" s="191">
        <f>SUM(K1313:K1320)</f>
        <v>179400</v>
      </c>
      <c r="L1321" s="192"/>
      <c r="M1321" s="193"/>
    </row>
    <row r="1322" spans="1:13" ht="21" customHeight="1" x14ac:dyDescent="0.2">
      <c r="A1322" s="163">
        <v>329</v>
      </c>
      <c r="B1322" s="164" t="s">
        <v>1813</v>
      </c>
      <c r="C1322" s="165"/>
      <c r="D1322" s="166" t="s">
        <v>163</v>
      </c>
      <c r="E1322" s="166"/>
      <c r="F1322" s="166"/>
      <c r="G1322" s="166"/>
      <c r="H1322" s="166"/>
      <c r="I1322" s="276" t="s">
        <v>1814</v>
      </c>
      <c r="J1322" s="249" t="s">
        <v>999</v>
      </c>
      <c r="K1322" s="213">
        <f>194900*65%</f>
        <v>126685</v>
      </c>
      <c r="L1322" s="171" t="s">
        <v>166</v>
      </c>
      <c r="M1322" s="171" t="s">
        <v>1815</v>
      </c>
    </row>
    <row r="1323" spans="1:13" x14ac:dyDescent="0.2">
      <c r="A1323" s="173"/>
      <c r="B1323" s="174"/>
      <c r="C1323" s="175"/>
      <c r="D1323" s="176"/>
      <c r="E1323" s="176"/>
      <c r="F1323" s="176"/>
      <c r="G1323" s="176"/>
      <c r="H1323" s="176"/>
      <c r="I1323" s="184" t="s">
        <v>1816</v>
      </c>
      <c r="J1323" s="207" t="s">
        <v>641</v>
      </c>
      <c r="K1323" s="200">
        <f t="shared" ref="K1323:K1329" si="28">194900*5%</f>
        <v>9745</v>
      </c>
      <c r="L1323" s="181"/>
      <c r="M1323" s="181"/>
    </row>
    <row r="1324" spans="1:13" x14ac:dyDescent="0.2">
      <c r="A1324" s="173"/>
      <c r="B1324" s="174"/>
      <c r="C1324" s="175"/>
      <c r="D1324" s="176"/>
      <c r="E1324" s="176"/>
      <c r="F1324" s="176"/>
      <c r="G1324" s="176"/>
      <c r="H1324" s="176"/>
      <c r="I1324" s="184" t="s">
        <v>1817</v>
      </c>
      <c r="J1324" s="207" t="s">
        <v>1434</v>
      </c>
      <c r="K1324" s="200">
        <f t="shared" si="28"/>
        <v>9745</v>
      </c>
      <c r="L1324" s="181"/>
      <c r="M1324" s="181"/>
    </row>
    <row r="1325" spans="1:13" x14ac:dyDescent="0.2">
      <c r="A1325" s="173"/>
      <c r="B1325" s="174"/>
      <c r="C1325" s="175"/>
      <c r="D1325" s="176"/>
      <c r="E1325" s="176"/>
      <c r="F1325" s="176"/>
      <c r="G1325" s="176"/>
      <c r="H1325" s="176"/>
      <c r="I1325" s="184" t="s">
        <v>1818</v>
      </c>
      <c r="J1325" s="207" t="s">
        <v>641</v>
      </c>
      <c r="K1325" s="200">
        <f t="shared" si="28"/>
        <v>9745</v>
      </c>
      <c r="L1325" s="181"/>
      <c r="M1325" s="181"/>
    </row>
    <row r="1326" spans="1:13" x14ac:dyDescent="0.2">
      <c r="A1326" s="173"/>
      <c r="B1326" s="174"/>
      <c r="C1326" s="175"/>
      <c r="D1326" s="176"/>
      <c r="E1326" s="176"/>
      <c r="F1326" s="176"/>
      <c r="G1326" s="176"/>
      <c r="H1326" s="176"/>
      <c r="I1326" s="184" t="s">
        <v>1819</v>
      </c>
      <c r="J1326" s="207" t="s">
        <v>599</v>
      </c>
      <c r="K1326" s="200">
        <f t="shared" si="28"/>
        <v>9745</v>
      </c>
      <c r="L1326" s="181"/>
      <c r="M1326" s="181"/>
    </row>
    <row r="1327" spans="1:13" x14ac:dyDescent="0.2">
      <c r="A1327" s="173"/>
      <c r="B1327" s="174"/>
      <c r="C1327" s="175"/>
      <c r="D1327" s="176"/>
      <c r="E1327" s="176"/>
      <c r="F1327" s="176"/>
      <c r="G1327" s="176"/>
      <c r="H1327" s="176"/>
      <c r="I1327" s="184" t="s">
        <v>763</v>
      </c>
      <c r="J1327" s="207" t="s">
        <v>683</v>
      </c>
      <c r="K1327" s="200">
        <f t="shared" si="28"/>
        <v>9745</v>
      </c>
      <c r="L1327" s="181"/>
      <c r="M1327" s="181"/>
    </row>
    <row r="1328" spans="1:13" x14ac:dyDescent="0.2">
      <c r="A1328" s="173"/>
      <c r="B1328" s="174"/>
      <c r="C1328" s="175"/>
      <c r="D1328" s="176"/>
      <c r="E1328" s="176"/>
      <c r="F1328" s="176"/>
      <c r="G1328" s="176"/>
      <c r="H1328" s="176"/>
      <c r="I1328" s="184" t="s">
        <v>1820</v>
      </c>
      <c r="J1328" s="207" t="s">
        <v>641</v>
      </c>
      <c r="K1328" s="200">
        <f t="shared" si="28"/>
        <v>9745</v>
      </c>
      <c r="L1328" s="181"/>
      <c r="M1328" s="181"/>
    </row>
    <row r="1329" spans="1:13" x14ac:dyDescent="0.2">
      <c r="A1329" s="173"/>
      <c r="B1329" s="174"/>
      <c r="C1329" s="175"/>
      <c r="D1329" s="176"/>
      <c r="E1329" s="176"/>
      <c r="F1329" s="176"/>
      <c r="G1329" s="176"/>
      <c r="H1329" s="176"/>
      <c r="I1329" s="184" t="s">
        <v>1821</v>
      </c>
      <c r="J1329" s="207" t="s">
        <v>683</v>
      </c>
      <c r="K1329" s="200">
        <f t="shared" si="28"/>
        <v>9745</v>
      </c>
      <c r="L1329" s="181"/>
      <c r="M1329" s="181"/>
    </row>
    <row r="1330" spans="1:13" x14ac:dyDescent="0.2">
      <c r="A1330" s="185"/>
      <c r="B1330" s="186"/>
      <c r="C1330" s="187"/>
      <c r="D1330" s="188"/>
      <c r="E1330" s="188"/>
      <c r="F1330" s="188"/>
      <c r="G1330" s="188"/>
      <c r="H1330" s="188"/>
      <c r="I1330" s="177"/>
      <c r="J1330" s="226"/>
      <c r="K1330" s="198">
        <f>SUM(K1322:K1329)</f>
        <v>194900</v>
      </c>
      <c r="L1330" s="193"/>
      <c r="M1330" s="193"/>
    </row>
    <row r="1331" spans="1:13" ht="23.25" customHeight="1" x14ac:dyDescent="0.2">
      <c r="A1331" s="163">
        <v>330</v>
      </c>
      <c r="B1331" s="164" t="s">
        <v>1822</v>
      </c>
      <c r="C1331" s="165"/>
      <c r="D1331" s="166" t="s">
        <v>163</v>
      </c>
      <c r="E1331" s="166"/>
      <c r="F1331" s="166"/>
      <c r="G1331" s="166"/>
      <c r="H1331" s="166" t="s">
        <v>164</v>
      </c>
      <c r="I1331" s="217" t="s">
        <v>1823</v>
      </c>
      <c r="J1331" s="223" t="s">
        <v>999</v>
      </c>
      <c r="K1331" s="268">
        <f>120000*60%</f>
        <v>72000</v>
      </c>
      <c r="L1331" s="171" t="s">
        <v>166</v>
      </c>
      <c r="M1331" s="171" t="s">
        <v>1824</v>
      </c>
    </row>
    <row r="1332" spans="1:13" x14ac:dyDescent="0.2">
      <c r="A1332" s="173"/>
      <c r="B1332" s="174"/>
      <c r="C1332" s="175"/>
      <c r="D1332" s="176"/>
      <c r="E1332" s="176"/>
      <c r="F1332" s="176"/>
      <c r="G1332" s="176"/>
      <c r="H1332" s="176"/>
      <c r="I1332" s="184" t="s">
        <v>1825</v>
      </c>
      <c r="J1332" s="207" t="s">
        <v>641</v>
      </c>
      <c r="K1332" s="214">
        <f>120000*40%</f>
        <v>48000</v>
      </c>
      <c r="L1332" s="181"/>
      <c r="M1332" s="181"/>
    </row>
    <row r="1333" spans="1:13" x14ac:dyDescent="0.2">
      <c r="A1333" s="185"/>
      <c r="B1333" s="186"/>
      <c r="C1333" s="187"/>
      <c r="D1333" s="188"/>
      <c r="E1333" s="188"/>
      <c r="F1333" s="188"/>
      <c r="G1333" s="188"/>
      <c r="H1333" s="188"/>
      <c r="I1333" s="202"/>
      <c r="J1333" s="203"/>
      <c r="K1333" s="247">
        <f>SUM(K1331:K1332)</f>
        <v>120000</v>
      </c>
      <c r="L1333" s="193"/>
      <c r="M1333" s="193"/>
    </row>
    <row r="1334" spans="1:13" ht="22.5" customHeight="1" x14ac:dyDescent="0.2">
      <c r="A1334" s="163">
        <v>331</v>
      </c>
      <c r="B1334" s="164" t="s">
        <v>1826</v>
      </c>
      <c r="C1334" s="165"/>
      <c r="D1334" s="166" t="s">
        <v>163</v>
      </c>
      <c r="E1334" s="166"/>
      <c r="F1334" s="166"/>
      <c r="G1334" s="166"/>
      <c r="H1334" s="166"/>
      <c r="I1334" s="217" t="s">
        <v>1823</v>
      </c>
      <c r="J1334" s="223" t="s">
        <v>999</v>
      </c>
      <c r="K1334" s="447">
        <f>809800*60%</f>
        <v>485880</v>
      </c>
      <c r="L1334" s="170" t="s">
        <v>166</v>
      </c>
      <c r="M1334" s="171" t="s">
        <v>1827</v>
      </c>
    </row>
    <row r="1335" spans="1:13" x14ac:dyDescent="0.2">
      <c r="A1335" s="173"/>
      <c r="B1335" s="174"/>
      <c r="C1335" s="175"/>
      <c r="D1335" s="176"/>
      <c r="E1335" s="176"/>
      <c r="F1335" s="176"/>
      <c r="G1335" s="176"/>
      <c r="H1335" s="176"/>
      <c r="I1335" s="184" t="s">
        <v>1825</v>
      </c>
      <c r="J1335" s="207" t="s">
        <v>641</v>
      </c>
      <c r="K1335" s="208">
        <f>809800*40%</f>
        <v>323920</v>
      </c>
      <c r="L1335" s="180"/>
      <c r="M1335" s="181"/>
    </row>
    <row r="1336" spans="1:13" x14ac:dyDescent="0.2">
      <c r="A1336" s="185"/>
      <c r="B1336" s="186"/>
      <c r="C1336" s="187"/>
      <c r="D1336" s="188"/>
      <c r="E1336" s="188"/>
      <c r="F1336" s="188"/>
      <c r="G1336" s="188"/>
      <c r="H1336" s="188"/>
      <c r="I1336" s="202"/>
      <c r="J1336" s="203"/>
      <c r="K1336" s="191">
        <f>SUM(K1334:K1335)</f>
        <v>809800</v>
      </c>
      <c r="L1336" s="192"/>
      <c r="M1336" s="193"/>
    </row>
    <row r="1337" spans="1:13" ht="18.75" customHeight="1" x14ac:dyDescent="0.2">
      <c r="A1337" s="163">
        <v>332</v>
      </c>
      <c r="B1337" s="164" t="s">
        <v>1828</v>
      </c>
      <c r="C1337" s="165"/>
      <c r="D1337" s="166" t="s">
        <v>163</v>
      </c>
      <c r="E1337" s="166"/>
      <c r="F1337" s="166"/>
      <c r="G1337" s="166"/>
      <c r="H1337" s="166" t="s">
        <v>164</v>
      </c>
      <c r="I1337" s="276" t="s">
        <v>1829</v>
      </c>
      <c r="J1337" s="249" t="s">
        <v>999</v>
      </c>
      <c r="K1337" s="206">
        <f>949800*60%</f>
        <v>569880</v>
      </c>
      <c r="L1337" s="170" t="s">
        <v>166</v>
      </c>
      <c r="M1337" s="171" t="s">
        <v>1830</v>
      </c>
    </row>
    <row r="1338" spans="1:13" x14ac:dyDescent="0.2">
      <c r="A1338" s="173"/>
      <c r="B1338" s="174"/>
      <c r="C1338" s="175"/>
      <c r="D1338" s="176"/>
      <c r="E1338" s="176"/>
      <c r="F1338" s="176"/>
      <c r="G1338" s="176"/>
      <c r="H1338" s="176"/>
      <c r="I1338" s="184" t="s">
        <v>1831</v>
      </c>
      <c r="J1338" s="207" t="s">
        <v>641</v>
      </c>
      <c r="K1338" s="208">
        <f>949800*40%</f>
        <v>379920</v>
      </c>
      <c r="L1338" s="180"/>
      <c r="M1338" s="181"/>
    </row>
    <row r="1339" spans="1:13" x14ac:dyDescent="0.2">
      <c r="A1339" s="185"/>
      <c r="B1339" s="186"/>
      <c r="C1339" s="187"/>
      <c r="D1339" s="188"/>
      <c r="E1339" s="188"/>
      <c r="F1339" s="188"/>
      <c r="G1339" s="188"/>
      <c r="H1339" s="188"/>
      <c r="I1339" s="202"/>
      <c r="J1339" s="203"/>
      <c r="K1339" s="191">
        <f>SUM(K1337:K1338)</f>
        <v>949800</v>
      </c>
      <c r="L1339" s="192"/>
      <c r="M1339" s="193"/>
    </row>
    <row r="1340" spans="1:13" ht="48.75" customHeight="1" x14ac:dyDescent="0.2">
      <c r="A1340" s="305">
        <v>333</v>
      </c>
      <c r="B1340" s="164" t="s">
        <v>1832</v>
      </c>
      <c r="C1340" s="165"/>
      <c r="D1340" s="308" t="s">
        <v>163</v>
      </c>
      <c r="E1340" s="308"/>
      <c r="F1340" s="308"/>
      <c r="G1340" s="308"/>
      <c r="H1340" s="308" t="s">
        <v>164</v>
      </c>
      <c r="I1340" s="282" t="s">
        <v>1833</v>
      </c>
      <c r="J1340" s="314" t="s">
        <v>999</v>
      </c>
      <c r="K1340" s="213">
        <v>10900</v>
      </c>
      <c r="L1340" s="261" t="s">
        <v>166</v>
      </c>
      <c r="M1340" s="261" t="s">
        <v>1834</v>
      </c>
    </row>
    <row r="1341" spans="1:13" ht="50.25" customHeight="1" x14ac:dyDescent="0.2">
      <c r="A1341" s="305">
        <v>334</v>
      </c>
      <c r="B1341" s="164" t="s">
        <v>1835</v>
      </c>
      <c r="C1341" s="165"/>
      <c r="D1341" s="308" t="s">
        <v>163</v>
      </c>
      <c r="E1341" s="308"/>
      <c r="F1341" s="308"/>
      <c r="G1341" s="308"/>
      <c r="H1341" s="308" t="s">
        <v>164</v>
      </c>
      <c r="I1341" s="282" t="s">
        <v>1833</v>
      </c>
      <c r="J1341" s="302" t="s">
        <v>999</v>
      </c>
      <c r="K1341" s="206">
        <v>100000</v>
      </c>
      <c r="L1341" s="309" t="s">
        <v>166</v>
      </c>
      <c r="M1341" s="261" t="s">
        <v>1836</v>
      </c>
    </row>
    <row r="1342" spans="1:13" ht="24" customHeight="1" x14ac:dyDescent="0.2">
      <c r="A1342" s="163">
        <v>335</v>
      </c>
      <c r="B1342" s="164" t="s">
        <v>1837</v>
      </c>
      <c r="C1342" s="165"/>
      <c r="D1342" s="166" t="s">
        <v>163</v>
      </c>
      <c r="E1342" s="166"/>
      <c r="F1342" s="166"/>
      <c r="G1342" s="166"/>
      <c r="H1342" s="166" t="s">
        <v>164</v>
      </c>
      <c r="I1342" s="276" t="s">
        <v>1838</v>
      </c>
      <c r="J1342" s="249" t="s">
        <v>1765</v>
      </c>
      <c r="K1342" s="213">
        <f>100000*60%</f>
        <v>60000</v>
      </c>
      <c r="L1342" s="171" t="s">
        <v>166</v>
      </c>
      <c r="M1342" s="171" t="s">
        <v>1839</v>
      </c>
    </row>
    <row r="1343" spans="1:13" x14ac:dyDescent="0.2">
      <c r="A1343" s="173"/>
      <c r="B1343" s="174"/>
      <c r="C1343" s="175"/>
      <c r="D1343" s="176"/>
      <c r="E1343" s="176"/>
      <c r="F1343" s="176"/>
      <c r="G1343" s="176"/>
      <c r="H1343" s="176"/>
      <c r="I1343" s="184" t="s">
        <v>1840</v>
      </c>
      <c r="J1343" s="207" t="s">
        <v>1575</v>
      </c>
      <c r="K1343" s="200">
        <f>100000*40%</f>
        <v>40000</v>
      </c>
      <c r="L1343" s="181"/>
      <c r="M1343" s="181"/>
    </row>
    <row r="1344" spans="1:13" x14ac:dyDescent="0.2">
      <c r="A1344" s="185"/>
      <c r="B1344" s="186"/>
      <c r="C1344" s="187"/>
      <c r="D1344" s="188"/>
      <c r="E1344" s="188"/>
      <c r="F1344" s="188"/>
      <c r="G1344" s="188"/>
      <c r="H1344" s="188"/>
      <c r="I1344" s="202"/>
      <c r="J1344" s="203"/>
      <c r="K1344" s="211">
        <f>SUM(K1342:K1343)</f>
        <v>100000</v>
      </c>
      <c r="L1344" s="193"/>
      <c r="M1344" s="193"/>
    </row>
    <row r="1345" spans="1:13" ht="23.25" customHeight="1" x14ac:dyDescent="0.2">
      <c r="A1345" s="163">
        <v>336</v>
      </c>
      <c r="B1345" s="164" t="s">
        <v>1841</v>
      </c>
      <c r="C1345" s="165"/>
      <c r="D1345" s="166" t="s">
        <v>163</v>
      </c>
      <c r="E1345" s="166"/>
      <c r="F1345" s="166"/>
      <c r="G1345" s="166"/>
      <c r="H1345" s="166" t="s">
        <v>164</v>
      </c>
      <c r="I1345" s="276" t="s">
        <v>1838</v>
      </c>
      <c r="J1345" s="249" t="s">
        <v>999</v>
      </c>
      <c r="K1345" s="206">
        <f>1100200*60%</f>
        <v>660120</v>
      </c>
      <c r="L1345" s="170" t="s">
        <v>166</v>
      </c>
      <c r="M1345" s="171" t="s">
        <v>1842</v>
      </c>
    </row>
    <row r="1346" spans="1:13" ht="23.25" customHeight="1" x14ac:dyDescent="0.2">
      <c r="A1346" s="173"/>
      <c r="B1346" s="174"/>
      <c r="C1346" s="175"/>
      <c r="D1346" s="176"/>
      <c r="E1346" s="176"/>
      <c r="F1346" s="176"/>
      <c r="G1346" s="176"/>
      <c r="H1346" s="176"/>
      <c r="I1346" s="184" t="s">
        <v>1840</v>
      </c>
      <c r="J1346" s="207" t="s">
        <v>641</v>
      </c>
      <c r="K1346" s="208">
        <f>1100200*40%</f>
        <v>440080</v>
      </c>
      <c r="L1346" s="180"/>
      <c r="M1346" s="181"/>
    </row>
    <row r="1347" spans="1:13" ht="23.25" customHeight="1" x14ac:dyDescent="0.2">
      <c r="A1347" s="185"/>
      <c r="B1347" s="186"/>
      <c r="C1347" s="187"/>
      <c r="D1347" s="188"/>
      <c r="E1347" s="188"/>
      <c r="F1347" s="188"/>
      <c r="G1347" s="188"/>
      <c r="H1347" s="188"/>
      <c r="I1347" s="202"/>
      <c r="J1347" s="203"/>
      <c r="K1347" s="191">
        <f>SUM(K1345:K1346)</f>
        <v>1100200</v>
      </c>
      <c r="L1347" s="192"/>
      <c r="M1347" s="193"/>
    </row>
    <row r="1348" spans="1:13" ht="23.25" customHeight="1" x14ac:dyDescent="0.2">
      <c r="A1348" s="163">
        <v>337</v>
      </c>
      <c r="B1348" s="164" t="s">
        <v>1843</v>
      </c>
      <c r="C1348" s="165"/>
      <c r="D1348" s="166" t="s">
        <v>163</v>
      </c>
      <c r="E1348" s="166"/>
      <c r="F1348" s="166"/>
      <c r="G1348" s="166"/>
      <c r="H1348" s="166" t="s">
        <v>164</v>
      </c>
      <c r="I1348" s="276" t="s">
        <v>1844</v>
      </c>
      <c r="J1348" s="249" t="s">
        <v>999</v>
      </c>
      <c r="K1348" s="206">
        <f>100000*60%</f>
        <v>60000</v>
      </c>
      <c r="L1348" s="170" t="s">
        <v>166</v>
      </c>
      <c r="M1348" s="171" t="s">
        <v>1845</v>
      </c>
    </row>
    <row r="1349" spans="1:13" ht="23.25" customHeight="1" x14ac:dyDescent="0.2">
      <c r="A1349" s="173"/>
      <c r="B1349" s="174"/>
      <c r="C1349" s="175"/>
      <c r="D1349" s="176"/>
      <c r="E1349" s="176"/>
      <c r="F1349" s="176"/>
      <c r="G1349" s="176"/>
      <c r="H1349" s="176"/>
      <c r="I1349" s="184" t="s">
        <v>1846</v>
      </c>
      <c r="J1349" s="207" t="s">
        <v>641</v>
      </c>
      <c r="K1349" s="208">
        <f>100000*40%</f>
        <v>40000</v>
      </c>
      <c r="L1349" s="180"/>
      <c r="M1349" s="181"/>
    </row>
    <row r="1350" spans="1:13" ht="23.25" customHeight="1" x14ac:dyDescent="0.2">
      <c r="A1350" s="185"/>
      <c r="B1350" s="186"/>
      <c r="C1350" s="187"/>
      <c r="D1350" s="188"/>
      <c r="E1350" s="188"/>
      <c r="F1350" s="188"/>
      <c r="G1350" s="188"/>
      <c r="H1350" s="188"/>
      <c r="I1350" s="202"/>
      <c r="J1350" s="203"/>
      <c r="K1350" s="191">
        <f>SUM(K1348:K1349)</f>
        <v>100000</v>
      </c>
      <c r="L1350" s="192"/>
      <c r="M1350" s="193"/>
    </row>
    <row r="1351" spans="1:13" ht="23.25" customHeight="1" x14ac:dyDescent="0.2">
      <c r="A1351" s="163">
        <v>338</v>
      </c>
      <c r="B1351" s="164" t="s">
        <v>1847</v>
      </c>
      <c r="C1351" s="165"/>
      <c r="D1351" s="166" t="s">
        <v>163</v>
      </c>
      <c r="E1351" s="166"/>
      <c r="F1351" s="166"/>
      <c r="G1351" s="166"/>
      <c r="H1351" s="166" t="s">
        <v>164</v>
      </c>
      <c r="I1351" s="276" t="s">
        <v>1844</v>
      </c>
      <c r="J1351" s="249" t="s">
        <v>999</v>
      </c>
      <c r="K1351" s="213">
        <f>1237200*60%</f>
        <v>742320</v>
      </c>
      <c r="L1351" s="171" t="s">
        <v>166</v>
      </c>
      <c r="M1351" s="171" t="s">
        <v>1848</v>
      </c>
    </row>
    <row r="1352" spans="1:13" ht="23.25" customHeight="1" x14ac:dyDescent="0.2">
      <c r="A1352" s="173"/>
      <c r="B1352" s="174"/>
      <c r="C1352" s="175"/>
      <c r="D1352" s="176"/>
      <c r="E1352" s="176"/>
      <c r="F1352" s="176"/>
      <c r="G1352" s="176"/>
      <c r="H1352" s="176"/>
      <c r="I1352" s="184" t="s">
        <v>1846</v>
      </c>
      <c r="J1352" s="207" t="s">
        <v>641</v>
      </c>
      <c r="K1352" s="200">
        <f>1237200*40%</f>
        <v>494880</v>
      </c>
      <c r="L1352" s="181"/>
      <c r="M1352" s="181"/>
    </row>
    <row r="1353" spans="1:13" ht="23.25" customHeight="1" x14ac:dyDescent="0.2">
      <c r="A1353" s="185"/>
      <c r="B1353" s="186"/>
      <c r="C1353" s="187"/>
      <c r="D1353" s="188"/>
      <c r="E1353" s="188"/>
      <c r="F1353" s="188"/>
      <c r="G1353" s="188"/>
      <c r="H1353" s="188"/>
      <c r="I1353" s="202"/>
      <c r="J1353" s="203"/>
      <c r="K1353" s="211">
        <f>SUM(K1351:K1352)</f>
        <v>1237200</v>
      </c>
      <c r="L1353" s="193"/>
      <c r="M1353" s="193"/>
    </row>
    <row r="1354" spans="1:13" ht="23.25" customHeight="1" x14ac:dyDescent="0.2">
      <c r="A1354" s="163">
        <v>339</v>
      </c>
      <c r="B1354" s="164" t="s">
        <v>1849</v>
      </c>
      <c r="C1354" s="165"/>
      <c r="D1354" s="252" t="s">
        <v>107</v>
      </c>
      <c r="E1354" s="166"/>
      <c r="F1354" s="166"/>
      <c r="G1354" s="166"/>
      <c r="H1354" s="166" t="s">
        <v>137</v>
      </c>
      <c r="I1354" s="167" t="s">
        <v>1850</v>
      </c>
      <c r="J1354" s="223" t="s">
        <v>999</v>
      </c>
      <c r="K1354" s="212">
        <f>K1357*80%</f>
        <v>2000</v>
      </c>
      <c r="L1354" s="170" t="s">
        <v>111</v>
      </c>
      <c r="M1354" s="171" t="s">
        <v>1851</v>
      </c>
    </row>
    <row r="1355" spans="1:13" ht="23.25" customHeight="1" x14ac:dyDescent="0.2">
      <c r="A1355" s="173"/>
      <c r="B1355" s="174"/>
      <c r="C1355" s="175"/>
      <c r="D1355" s="245"/>
      <c r="E1355" s="176"/>
      <c r="F1355" s="176"/>
      <c r="G1355" s="176"/>
      <c r="H1355" s="176"/>
      <c r="I1355" s="184" t="s">
        <v>1852</v>
      </c>
      <c r="J1355" s="168" t="s">
        <v>999</v>
      </c>
      <c r="K1355" s="201">
        <f>K1357*10%</f>
        <v>250</v>
      </c>
      <c r="L1355" s="180"/>
      <c r="M1355" s="181"/>
    </row>
    <row r="1356" spans="1:13" ht="23.25" customHeight="1" x14ac:dyDescent="0.2">
      <c r="A1356" s="173"/>
      <c r="B1356" s="174"/>
      <c r="C1356" s="175"/>
      <c r="D1356" s="245"/>
      <c r="E1356" s="176"/>
      <c r="F1356" s="176"/>
      <c r="G1356" s="176"/>
      <c r="H1356" s="176"/>
      <c r="I1356" s="167" t="s">
        <v>1853</v>
      </c>
      <c r="J1356" s="178" t="s">
        <v>599</v>
      </c>
      <c r="K1356" s="179">
        <f>K1357*10%</f>
        <v>250</v>
      </c>
      <c r="L1356" s="180"/>
      <c r="M1356" s="181"/>
    </row>
    <row r="1357" spans="1:13" ht="23.25" customHeight="1" x14ac:dyDescent="0.2">
      <c r="A1357" s="185"/>
      <c r="B1357" s="186"/>
      <c r="C1357" s="187"/>
      <c r="D1357" s="246"/>
      <c r="E1357" s="188"/>
      <c r="F1357" s="188"/>
      <c r="G1357" s="188"/>
      <c r="H1357" s="188"/>
      <c r="I1357" s="202"/>
      <c r="J1357" s="215"/>
      <c r="K1357" s="216">
        <v>2500</v>
      </c>
      <c r="L1357" s="192"/>
      <c r="M1357" s="193"/>
    </row>
    <row r="1358" spans="1:13" ht="25.5" customHeight="1" x14ac:dyDescent="0.2">
      <c r="A1358" s="163">
        <v>340</v>
      </c>
      <c r="B1358" s="164" t="s">
        <v>1854</v>
      </c>
      <c r="C1358" s="165"/>
      <c r="D1358" s="252" t="s">
        <v>107</v>
      </c>
      <c r="E1358" s="166"/>
      <c r="F1358" s="166"/>
      <c r="G1358" s="166"/>
      <c r="H1358" s="166" t="s">
        <v>983</v>
      </c>
      <c r="I1358" s="167" t="s">
        <v>1855</v>
      </c>
      <c r="J1358" s="168" t="s">
        <v>999</v>
      </c>
      <c r="K1358" s="169">
        <f>K1363*80%</f>
        <v>5600</v>
      </c>
      <c r="L1358" s="170" t="s">
        <v>111</v>
      </c>
      <c r="M1358" s="171" t="s">
        <v>1856</v>
      </c>
    </row>
    <row r="1359" spans="1:13" ht="23.25" customHeight="1" x14ac:dyDescent="0.2">
      <c r="A1359" s="173"/>
      <c r="B1359" s="174"/>
      <c r="C1359" s="175"/>
      <c r="D1359" s="245"/>
      <c r="E1359" s="176"/>
      <c r="F1359" s="176"/>
      <c r="G1359" s="176"/>
      <c r="H1359" s="176"/>
      <c r="I1359" s="177" t="s">
        <v>1857</v>
      </c>
      <c r="J1359" s="178" t="s">
        <v>999</v>
      </c>
      <c r="K1359" s="179">
        <f>K1363*5%</f>
        <v>350</v>
      </c>
      <c r="L1359" s="180"/>
      <c r="M1359" s="181"/>
    </row>
    <row r="1360" spans="1:13" ht="23.25" customHeight="1" x14ac:dyDescent="0.2">
      <c r="A1360" s="173"/>
      <c r="B1360" s="174"/>
      <c r="C1360" s="175"/>
      <c r="D1360" s="245"/>
      <c r="E1360" s="176"/>
      <c r="F1360" s="176"/>
      <c r="G1360" s="176"/>
      <c r="H1360" s="176"/>
      <c r="I1360" s="184" t="s">
        <v>1858</v>
      </c>
      <c r="J1360" s="178" t="s">
        <v>999</v>
      </c>
      <c r="K1360" s="179">
        <f>K1363*5%</f>
        <v>350</v>
      </c>
      <c r="L1360" s="180"/>
      <c r="M1360" s="181"/>
    </row>
    <row r="1361" spans="1:67" ht="23.25" customHeight="1" x14ac:dyDescent="0.2">
      <c r="A1361" s="173"/>
      <c r="B1361" s="174"/>
      <c r="C1361" s="175"/>
      <c r="D1361" s="245"/>
      <c r="E1361" s="176"/>
      <c r="F1361" s="176"/>
      <c r="G1361" s="176"/>
      <c r="H1361" s="176"/>
      <c r="I1361" s="184" t="s">
        <v>1859</v>
      </c>
      <c r="J1361" s="178" t="s">
        <v>253</v>
      </c>
      <c r="K1361" s="208">
        <f>K1363*5%</f>
        <v>350</v>
      </c>
      <c r="L1361" s="180"/>
      <c r="M1361" s="181"/>
    </row>
    <row r="1362" spans="1:67" ht="23.25" customHeight="1" x14ac:dyDescent="0.2">
      <c r="A1362" s="173"/>
      <c r="B1362" s="174"/>
      <c r="C1362" s="175"/>
      <c r="D1362" s="245"/>
      <c r="E1362" s="176"/>
      <c r="F1362" s="176"/>
      <c r="G1362" s="176"/>
      <c r="H1362" s="176"/>
      <c r="I1362" s="167" t="s">
        <v>1860</v>
      </c>
      <c r="J1362" s="178" t="s">
        <v>641</v>
      </c>
      <c r="K1362" s="201">
        <f>K1363*5%</f>
        <v>350</v>
      </c>
      <c r="L1362" s="180"/>
      <c r="M1362" s="181"/>
    </row>
    <row r="1363" spans="1:67" ht="27" customHeight="1" x14ac:dyDescent="0.2">
      <c r="A1363" s="185"/>
      <c r="B1363" s="186"/>
      <c r="C1363" s="187"/>
      <c r="D1363" s="246"/>
      <c r="E1363" s="188"/>
      <c r="F1363" s="188"/>
      <c r="G1363" s="188"/>
      <c r="H1363" s="188"/>
      <c r="I1363" s="202"/>
      <c r="J1363" s="215"/>
      <c r="K1363" s="216">
        <v>7000</v>
      </c>
      <c r="L1363" s="192"/>
      <c r="M1363" s="193"/>
    </row>
    <row r="1364" spans="1:67" ht="22.5" customHeight="1" x14ac:dyDescent="0.2">
      <c r="A1364" s="163">
        <v>341</v>
      </c>
      <c r="B1364" s="164" t="s">
        <v>1861</v>
      </c>
      <c r="C1364" s="165"/>
      <c r="D1364" s="252" t="s">
        <v>107</v>
      </c>
      <c r="E1364" s="166"/>
      <c r="F1364" s="166"/>
      <c r="G1364" s="166"/>
      <c r="H1364" s="166" t="s">
        <v>1345</v>
      </c>
      <c r="I1364" s="167" t="s">
        <v>1862</v>
      </c>
      <c r="J1364" s="168" t="s">
        <v>999</v>
      </c>
      <c r="K1364" s="169">
        <f>K1370*20%</f>
        <v>1400</v>
      </c>
      <c r="L1364" s="170" t="s">
        <v>111</v>
      </c>
      <c r="M1364" s="171" t="s">
        <v>1863</v>
      </c>
    </row>
    <row r="1365" spans="1:67" ht="22.5" customHeight="1" x14ac:dyDescent="0.2">
      <c r="A1365" s="173"/>
      <c r="B1365" s="174"/>
      <c r="C1365" s="175"/>
      <c r="D1365" s="245"/>
      <c r="E1365" s="176"/>
      <c r="F1365" s="176"/>
      <c r="G1365" s="176"/>
      <c r="H1365" s="176"/>
      <c r="I1365" s="177" t="s">
        <v>1864</v>
      </c>
      <c r="J1365" s="178" t="s">
        <v>999</v>
      </c>
      <c r="K1365" s="179">
        <f>K1370*5%</f>
        <v>350</v>
      </c>
      <c r="L1365" s="180"/>
      <c r="M1365" s="181"/>
    </row>
    <row r="1366" spans="1:67" ht="22.5" customHeight="1" x14ac:dyDescent="0.2">
      <c r="A1366" s="173"/>
      <c r="B1366" s="174"/>
      <c r="C1366" s="175"/>
      <c r="D1366" s="245"/>
      <c r="E1366" s="176"/>
      <c r="F1366" s="176"/>
      <c r="G1366" s="176"/>
      <c r="H1366" s="176"/>
      <c r="I1366" s="177" t="s">
        <v>1859</v>
      </c>
      <c r="J1366" s="168" t="s">
        <v>253</v>
      </c>
      <c r="K1366" s="230">
        <f>K1370*5%</f>
        <v>350</v>
      </c>
      <c r="L1366" s="180"/>
      <c r="M1366" s="181"/>
    </row>
    <row r="1367" spans="1:67" ht="22.5" customHeight="1" x14ac:dyDescent="0.2">
      <c r="A1367" s="173"/>
      <c r="B1367" s="174"/>
      <c r="C1367" s="175"/>
      <c r="D1367" s="245"/>
      <c r="E1367" s="176"/>
      <c r="F1367" s="176"/>
      <c r="G1367" s="176"/>
      <c r="H1367" s="176"/>
      <c r="I1367" s="177" t="s">
        <v>1865</v>
      </c>
      <c r="J1367" s="178" t="s">
        <v>253</v>
      </c>
      <c r="K1367" s="201">
        <f>K1370*5%</f>
        <v>350</v>
      </c>
      <c r="L1367" s="180"/>
      <c r="M1367" s="181"/>
    </row>
    <row r="1368" spans="1:67" ht="22.5" customHeight="1" x14ac:dyDescent="0.2">
      <c r="A1368" s="173"/>
      <c r="B1368" s="174"/>
      <c r="C1368" s="175"/>
      <c r="D1368" s="245"/>
      <c r="E1368" s="176"/>
      <c r="F1368" s="176"/>
      <c r="G1368" s="176"/>
      <c r="H1368" s="176"/>
      <c r="I1368" s="184" t="s">
        <v>1866</v>
      </c>
      <c r="J1368" s="168" t="s">
        <v>999</v>
      </c>
      <c r="K1368" s="182">
        <f>K1370*60%</f>
        <v>4200</v>
      </c>
      <c r="L1368" s="180"/>
      <c r="M1368" s="181"/>
    </row>
    <row r="1369" spans="1:67" ht="22.5" customHeight="1" x14ac:dyDescent="0.2">
      <c r="A1369" s="173"/>
      <c r="B1369" s="174"/>
      <c r="C1369" s="175"/>
      <c r="D1369" s="245"/>
      <c r="E1369" s="176"/>
      <c r="F1369" s="176"/>
      <c r="G1369" s="176"/>
      <c r="H1369" s="176"/>
      <c r="I1369" s="167" t="s">
        <v>1867</v>
      </c>
      <c r="J1369" s="183" t="s">
        <v>641</v>
      </c>
      <c r="K1369" s="208">
        <f>K1370*5%</f>
        <v>350</v>
      </c>
      <c r="L1369" s="180"/>
      <c r="M1369" s="181"/>
    </row>
    <row r="1370" spans="1:67" ht="22.5" customHeight="1" x14ac:dyDescent="0.2">
      <c r="A1370" s="185"/>
      <c r="B1370" s="186"/>
      <c r="C1370" s="187"/>
      <c r="D1370" s="246"/>
      <c r="E1370" s="188"/>
      <c r="F1370" s="188"/>
      <c r="G1370" s="188"/>
      <c r="H1370" s="188"/>
      <c r="I1370" s="202"/>
      <c r="J1370" s="190"/>
      <c r="K1370" s="209">
        <v>7000</v>
      </c>
      <c r="L1370" s="192"/>
      <c r="M1370" s="193"/>
    </row>
    <row r="1371" spans="1:67" ht="23.25" customHeight="1" x14ac:dyDescent="0.2">
      <c r="A1371" s="163">
        <v>342</v>
      </c>
      <c r="B1371" s="164" t="s">
        <v>1868</v>
      </c>
      <c r="C1371" s="165"/>
      <c r="D1371" s="252" t="s">
        <v>107</v>
      </c>
      <c r="E1371" s="166"/>
      <c r="F1371" s="166"/>
      <c r="G1371" s="166"/>
      <c r="H1371" s="166" t="s">
        <v>108</v>
      </c>
      <c r="I1371" s="217" t="s">
        <v>1869</v>
      </c>
      <c r="J1371" s="168" t="s">
        <v>999</v>
      </c>
      <c r="K1371" s="169">
        <f>K1375*70%</f>
        <v>6300</v>
      </c>
      <c r="L1371" s="170" t="s">
        <v>111</v>
      </c>
      <c r="M1371" s="171" t="s">
        <v>1870</v>
      </c>
    </row>
    <row r="1372" spans="1:67" ht="23.25" customHeight="1" x14ac:dyDescent="0.2">
      <c r="A1372" s="173"/>
      <c r="B1372" s="174"/>
      <c r="C1372" s="175"/>
      <c r="D1372" s="245"/>
      <c r="E1372" s="176"/>
      <c r="F1372" s="176"/>
      <c r="G1372" s="176"/>
      <c r="H1372" s="176"/>
      <c r="I1372" s="184" t="s">
        <v>1871</v>
      </c>
      <c r="J1372" s="178" t="s">
        <v>999</v>
      </c>
      <c r="K1372" s="208">
        <f>K1375*10%</f>
        <v>900</v>
      </c>
      <c r="L1372" s="180"/>
      <c r="M1372" s="181"/>
    </row>
    <row r="1373" spans="1:67" ht="23.25" customHeight="1" x14ac:dyDescent="0.2">
      <c r="A1373" s="173"/>
      <c r="B1373" s="174"/>
      <c r="C1373" s="175"/>
      <c r="D1373" s="245"/>
      <c r="E1373" s="176"/>
      <c r="F1373" s="176"/>
      <c r="G1373" s="176"/>
      <c r="H1373" s="176"/>
      <c r="I1373" s="184" t="s">
        <v>1872</v>
      </c>
      <c r="J1373" s="178" t="s">
        <v>999</v>
      </c>
      <c r="K1373" s="208">
        <f>K1375*10%</f>
        <v>900</v>
      </c>
      <c r="L1373" s="180"/>
      <c r="M1373" s="181"/>
    </row>
    <row r="1374" spans="1:67" ht="23.25" customHeight="1" x14ac:dyDescent="0.2">
      <c r="A1374" s="173"/>
      <c r="B1374" s="174"/>
      <c r="C1374" s="175"/>
      <c r="D1374" s="245"/>
      <c r="E1374" s="176"/>
      <c r="F1374" s="176"/>
      <c r="G1374" s="176"/>
      <c r="H1374" s="176"/>
      <c r="I1374" s="167" t="s">
        <v>1873</v>
      </c>
      <c r="J1374" s="168" t="s">
        <v>641</v>
      </c>
      <c r="K1374" s="201">
        <f>K1375*10%</f>
        <v>900</v>
      </c>
      <c r="L1374" s="180"/>
      <c r="M1374" s="181"/>
    </row>
    <row r="1375" spans="1:67" ht="23.25" customHeight="1" x14ac:dyDescent="0.2">
      <c r="A1375" s="185"/>
      <c r="B1375" s="186"/>
      <c r="C1375" s="187"/>
      <c r="D1375" s="246"/>
      <c r="E1375" s="188"/>
      <c r="F1375" s="188"/>
      <c r="G1375" s="188"/>
      <c r="H1375" s="188"/>
      <c r="I1375" s="202"/>
      <c r="J1375" s="190"/>
      <c r="K1375" s="191">
        <v>9000</v>
      </c>
      <c r="L1375" s="192"/>
      <c r="M1375" s="193"/>
    </row>
    <row r="1376" spans="1:67" s="269" customFormat="1" ht="42" customHeight="1" x14ac:dyDescent="0.2">
      <c r="A1376" s="329">
        <v>343</v>
      </c>
      <c r="B1376" s="414" t="s">
        <v>1874</v>
      </c>
      <c r="C1376" s="415"/>
      <c r="D1376" s="308" t="s">
        <v>107</v>
      </c>
      <c r="E1376" s="308"/>
      <c r="F1376" s="308"/>
      <c r="G1376" s="308"/>
      <c r="H1376" s="308"/>
      <c r="I1376" s="282" t="s">
        <v>1748</v>
      </c>
      <c r="J1376" s="283" t="s">
        <v>641</v>
      </c>
      <c r="K1376" s="284">
        <v>60000</v>
      </c>
      <c r="L1376" s="306" t="s">
        <v>111</v>
      </c>
      <c r="M1376" s="261" t="s">
        <v>1875</v>
      </c>
      <c r="N1376" s="132"/>
      <c r="O1376" s="132"/>
      <c r="P1376" s="132"/>
      <c r="Q1376" s="132"/>
      <c r="R1376" s="132"/>
      <c r="S1376" s="132"/>
      <c r="T1376" s="132"/>
      <c r="U1376" s="132"/>
      <c r="V1376" s="132"/>
      <c r="W1376" s="132"/>
      <c r="X1376" s="132"/>
      <c r="Y1376" s="132"/>
      <c r="Z1376" s="132"/>
      <c r="AA1376" s="132"/>
      <c r="AB1376" s="132"/>
      <c r="AC1376" s="132"/>
      <c r="AD1376" s="132"/>
      <c r="AE1376" s="132"/>
      <c r="AF1376" s="132"/>
      <c r="AG1376" s="132"/>
      <c r="AH1376" s="132"/>
      <c r="AI1376" s="132"/>
      <c r="AJ1376" s="132"/>
      <c r="AK1376" s="132"/>
      <c r="AL1376" s="132"/>
      <c r="AM1376" s="132"/>
      <c r="AN1376" s="132"/>
      <c r="AO1376" s="132"/>
      <c r="AP1376" s="132"/>
      <c r="AQ1376" s="132"/>
      <c r="AR1376" s="132"/>
      <c r="AS1376" s="132"/>
      <c r="AT1376" s="132"/>
      <c r="AU1376" s="132"/>
      <c r="AV1376" s="132"/>
      <c r="AW1376" s="132"/>
      <c r="AX1376" s="132"/>
      <c r="AY1376" s="132"/>
      <c r="AZ1376" s="132"/>
      <c r="BA1376" s="132"/>
      <c r="BB1376" s="132"/>
      <c r="BC1376" s="132"/>
      <c r="BD1376" s="132"/>
      <c r="BE1376" s="132"/>
      <c r="BF1376" s="132"/>
      <c r="BG1376" s="132"/>
      <c r="BH1376" s="132"/>
      <c r="BI1376" s="132"/>
      <c r="BJ1376" s="132"/>
      <c r="BK1376" s="132"/>
      <c r="BL1376" s="132"/>
      <c r="BM1376" s="132"/>
      <c r="BN1376" s="132"/>
      <c r="BO1376" s="132"/>
    </row>
    <row r="1377" spans="1:67" s="269" customFormat="1" ht="88.5" customHeight="1" x14ac:dyDescent="0.2">
      <c r="A1377" s="232">
        <v>344</v>
      </c>
      <c r="B1377" s="310" t="s">
        <v>1876</v>
      </c>
      <c r="C1377" s="311"/>
      <c r="D1377" s="308" t="s">
        <v>107</v>
      </c>
      <c r="E1377" s="308"/>
      <c r="F1377" s="308"/>
      <c r="G1377" s="308"/>
      <c r="H1377" s="308"/>
      <c r="I1377" s="282" t="s">
        <v>1877</v>
      </c>
      <c r="J1377" s="283" t="s">
        <v>641</v>
      </c>
      <c r="K1377" s="284">
        <v>30000</v>
      </c>
      <c r="L1377" s="306" t="s">
        <v>111</v>
      </c>
      <c r="M1377" s="261" t="s">
        <v>1878</v>
      </c>
      <c r="N1377" s="132"/>
      <c r="O1377" s="132"/>
      <c r="P1377" s="132"/>
      <c r="Q1377" s="132"/>
      <c r="R1377" s="132"/>
      <c r="S1377" s="132"/>
      <c r="T1377" s="132"/>
      <c r="U1377" s="132"/>
      <c r="V1377" s="132"/>
      <c r="W1377" s="132"/>
      <c r="X1377" s="132"/>
      <c r="Y1377" s="132"/>
      <c r="Z1377" s="132"/>
      <c r="AA1377" s="132"/>
      <c r="AB1377" s="132"/>
      <c r="AC1377" s="132"/>
      <c r="AD1377" s="132"/>
      <c r="AE1377" s="132"/>
      <c r="AF1377" s="132"/>
      <c r="AG1377" s="132"/>
      <c r="AH1377" s="132"/>
      <c r="AI1377" s="132"/>
      <c r="AJ1377" s="132"/>
      <c r="AK1377" s="132"/>
      <c r="AL1377" s="132"/>
      <c r="AM1377" s="132"/>
      <c r="AN1377" s="132"/>
      <c r="AO1377" s="132"/>
      <c r="AP1377" s="132"/>
      <c r="AQ1377" s="132"/>
      <c r="AR1377" s="132"/>
      <c r="AS1377" s="132"/>
      <c r="AT1377" s="132"/>
      <c r="AU1377" s="132"/>
      <c r="AV1377" s="132"/>
      <c r="AW1377" s="132"/>
      <c r="AX1377" s="132"/>
      <c r="AY1377" s="132"/>
      <c r="AZ1377" s="132"/>
      <c r="BA1377" s="132"/>
      <c r="BB1377" s="132"/>
      <c r="BC1377" s="132"/>
      <c r="BD1377" s="132"/>
      <c r="BE1377" s="132"/>
      <c r="BF1377" s="132"/>
      <c r="BG1377" s="132"/>
      <c r="BH1377" s="132"/>
      <c r="BI1377" s="132"/>
      <c r="BJ1377" s="132"/>
      <c r="BK1377" s="132"/>
      <c r="BL1377" s="132"/>
      <c r="BM1377" s="132"/>
      <c r="BN1377" s="132"/>
      <c r="BO1377" s="132"/>
    </row>
    <row r="1378" spans="1:67" s="269" customFormat="1" ht="23.25" customHeight="1" x14ac:dyDescent="0.2">
      <c r="A1378" s="163">
        <v>345</v>
      </c>
      <c r="B1378" s="293" t="s">
        <v>1879</v>
      </c>
      <c r="C1378" s="294"/>
      <c r="D1378" s="166" t="s">
        <v>107</v>
      </c>
      <c r="E1378" s="166"/>
      <c r="F1378" s="166"/>
      <c r="G1378" s="166"/>
      <c r="H1378" s="166"/>
      <c r="I1378" s="276" t="s">
        <v>1880</v>
      </c>
      <c r="J1378" s="277" t="s">
        <v>641</v>
      </c>
      <c r="K1378" s="278">
        <f>60000*50%</f>
        <v>30000</v>
      </c>
      <c r="L1378" s="171" t="s">
        <v>111</v>
      </c>
      <c r="M1378" s="171" t="s">
        <v>1881</v>
      </c>
      <c r="N1378" s="132"/>
      <c r="O1378" s="132"/>
      <c r="P1378" s="132"/>
      <c r="Q1378" s="132"/>
      <c r="R1378" s="132"/>
      <c r="S1378" s="132"/>
      <c r="T1378" s="132"/>
      <c r="U1378" s="132"/>
      <c r="V1378" s="132"/>
      <c r="W1378" s="132"/>
      <c r="X1378" s="132"/>
      <c r="Y1378" s="132"/>
      <c r="Z1378" s="132"/>
      <c r="AA1378" s="132"/>
      <c r="AB1378" s="132"/>
      <c r="AC1378" s="132"/>
      <c r="AD1378" s="132"/>
      <c r="AE1378" s="132"/>
      <c r="AF1378" s="132"/>
      <c r="AG1378" s="132"/>
      <c r="AH1378" s="132"/>
      <c r="AI1378" s="132"/>
      <c r="AJ1378" s="132"/>
      <c r="AK1378" s="132"/>
      <c r="AL1378" s="132"/>
      <c r="AM1378" s="132"/>
      <c r="AN1378" s="132"/>
      <c r="AO1378" s="132"/>
      <c r="AP1378" s="132"/>
      <c r="AQ1378" s="132"/>
      <c r="AR1378" s="132"/>
      <c r="AS1378" s="132"/>
      <c r="AT1378" s="132"/>
      <c r="AU1378" s="132"/>
      <c r="AV1378" s="132"/>
      <c r="AW1378" s="132"/>
      <c r="AX1378" s="132"/>
      <c r="AY1378" s="132"/>
      <c r="AZ1378" s="132"/>
      <c r="BA1378" s="132"/>
      <c r="BB1378" s="132"/>
      <c r="BC1378" s="132"/>
      <c r="BD1378" s="132"/>
      <c r="BE1378" s="132"/>
      <c r="BF1378" s="132"/>
      <c r="BG1378" s="132"/>
      <c r="BH1378" s="132"/>
      <c r="BI1378" s="132"/>
      <c r="BJ1378" s="132"/>
      <c r="BK1378" s="132"/>
      <c r="BL1378" s="132"/>
      <c r="BM1378" s="132"/>
      <c r="BN1378" s="132"/>
      <c r="BO1378" s="132"/>
    </row>
    <row r="1379" spans="1:67" s="269" customFormat="1" ht="23.25" customHeight="1" x14ac:dyDescent="0.2">
      <c r="A1379" s="173"/>
      <c r="B1379" s="288"/>
      <c r="C1379" s="289"/>
      <c r="D1379" s="176"/>
      <c r="E1379" s="176"/>
      <c r="F1379" s="176"/>
      <c r="G1379" s="176"/>
      <c r="H1379" s="176"/>
      <c r="I1379" s="184" t="s">
        <v>889</v>
      </c>
      <c r="J1379" s="272" t="s">
        <v>641</v>
      </c>
      <c r="K1379" s="214">
        <f>60000*30%</f>
        <v>18000</v>
      </c>
      <c r="L1379" s="181"/>
      <c r="M1379" s="181"/>
      <c r="N1379" s="132"/>
      <c r="O1379" s="132"/>
      <c r="P1379" s="132"/>
      <c r="Q1379" s="132"/>
      <c r="R1379" s="132"/>
      <c r="S1379" s="132"/>
      <c r="T1379" s="132"/>
      <c r="U1379" s="132"/>
      <c r="V1379" s="132"/>
      <c r="W1379" s="132"/>
      <c r="X1379" s="132"/>
      <c r="Y1379" s="132"/>
      <c r="Z1379" s="132"/>
      <c r="AA1379" s="132"/>
      <c r="AB1379" s="132"/>
      <c r="AC1379" s="132"/>
      <c r="AD1379" s="132"/>
      <c r="AE1379" s="132"/>
      <c r="AF1379" s="132"/>
      <c r="AG1379" s="132"/>
      <c r="AH1379" s="132"/>
      <c r="AI1379" s="132"/>
      <c r="AJ1379" s="132"/>
      <c r="AK1379" s="132"/>
      <c r="AL1379" s="132"/>
      <c r="AM1379" s="132"/>
      <c r="AN1379" s="132"/>
      <c r="AO1379" s="132"/>
      <c r="AP1379" s="132"/>
      <c r="AQ1379" s="132"/>
      <c r="AR1379" s="132"/>
      <c r="AS1379" s="132"/>
      <c r="AT1379" s="132"/>
      <c r="AU1379" s="132"/>
      <c r="AV1379" s="132"/>
      <c r="AW1379" s="132"/>
      <c r="AX1379" s="132"/>
      <c r="AY1379" s="132"/>
      <c r="AZ1379" s="132"/>
      <c r="BA1379" s="132"/>
      <c r="BB1379" s="132"/>
      <c r="BC1379" s="132"/>
      <c r="BD1379" s="132"/>
      <c r="BE1379" s="132"/>
      <c r="BF1379" s="132"/>
      <c r="BG1379" s="132"/>
      <c r="BH1379" s="132"/>
      <c r="BI1379" s="132"/>
      <c r="BJ1379" s="132"/>
      <c r="BK1379" s="132"/>
      <c r="BL1379" s="132"/>
      <c r="BM1379" s="132"/>
      <c r="BN1379" s="132"/>
      <c r="BO1379" s="132"/>
    </row>
    <row r="1380" spans="1:67" s="269" customFormat="1" ht="23.25" customHeight="1" x14ac:dyDescent="0.2">
      <c r="A1380" s="173"/>
      <c r="B1380" s="288"/>
      <c r="C1380" s="289"/>
      <c r="D1380" s="176"/>
      <c r="E1380" s="176"/>
      <c r="F1380" s="176"/>
      <c r="G1380" s="176"/>
      <c r="H1380" s="176"/>
      <c r="I1380" s="184" t="s">
        <v>1873</v>
      </c>
      <c r="J1380" s="272" t="s">
        <v>641</v>
      </c>
      <c r="K1380" s="214">
        <f>60000*10%</f>
        <v>6000</v>
      </c>
      <c r="L1380" s="181"/>
      <c r="M1380" s="181"/>
      <c r="N1380" s="132"/>
      <c r="O1380" s="132"/>
      <c r="P1380" s="132"/>
      <c r="Q1380" s="132"/>
      <c r="R1380" s="132"/>
      <c r="S1380" s="132"/>
      <c r="T1380" s="132"/>
      <c r="U1380" s="132"/>
      <c r="V1380" s="132"/>
      <c r="W1380" s="132"/>
      <c r="X1380" s="132"/>
      <c r="Y1380" s="132"/>
      <c r="Z1380" s="132"/>
      <c r="AA1380" s="132"/>
      <c r="AB1380" s="132"/>
      <c r="AC1380" s="132"/>
      <c r="AD1380" s="132"/>
      <c r="AE1380" s="132"/>
      <c r="AF1380" s="132"/>
      <c r="AG1380" s="132"/>
      <c r="AH1380" s="132"/>
      <c r="AI1380" s="132"/>
      <c r="AJ1380" s="132"/>
      <c r="AK1380" s="132"/>
      <c r="AL1380" s="132"/>
      <c r="AM1380" s="132"/>
      <c r="AN1380" s="132"/>
      <c r="AO1380" s="132"/>
      <c r="AP1380" s="132"/>
      <c r="AQ1380" s="132"/>
      <c r="AR1380" s="132"/>
      <c r="AS1380" s="132"/>
      <c r="AT1380" s="132"/>
      <c r="AU1380" s="132"/>
      <c r="AV1380" s="132"/>
      <c r="AW1380" s="132"/>
      <c r="AX1380" s="132"/>
      <c r="AY1380" s="132"/>
      <c r="AZ1380" s="132"/>
      <c r="BA1380" s="132"/>
      <c r="BB1380" s="132"/>
      <c r="BC1380" s="132"/>
      <c r="BD1380" s="132"/>
      <c r="BE1380" s="132"/>
      <c r="BF1380" s="132"/>
      <c r="BG1380" s="132"/>
      <c r="BH1380" s="132"/>
      <c r="BI1380" s="132"/>
      <c r="BJ1380" s="132"/>
      <c r="BK1380" s="132"/>
      <c r="BL1380" s="132"/>
      <c r="BM1380" s="132"/>
      <c r="BN1380" s="132"/>
      <c r="BO1380" s="132"/>
    </row>
    <row r="1381" spans="1:67" s="269" customFormat="1" ht="23.25" customHeight="1" x14ac:dyDescent="0.2">
      <c r="A1381" s="173"/>
      <c r="B1381" s="288"/>
      <c r="C1381" s="289"/>
      <c r="D1381" s="176"/>
      <c r="E1381" s="176"/>
      <c r="F1381" s="176"/>
      <c r="G1381" s="176"/>
      <c r="H1381" s="176"/>
      <c r="I1381" s="184" t="s">
        <v>1882</v>
      </c>
      <c r="J1381" s="272" t="s">
        <v>641</v>
      </c>
      <c r="K1381" s="214">
        <f>60000*10%</f>
        <v>6000</v>
      </c>
      <c r="L1381" s="181"/>
      <c r="M1381" s="181"/>
      <c r="N1381" s="132"/>
      <c r="O1381" s="132"/>
      <c r="P1381" s="132"/>
      <c r="Q1381" s="132"/>
      <c r="R1381" s="132"/>
      <c r="S1381" s="132"/>
      <c r="T1381" s="132"/>
      <c r="U1381" s="132"/>
      <c r="V1381" s="132"/>
      <c r="W1381" s="132"/>
      <c r="X1381" s="132"/>
      <c r="Y1381" s="132"/>
      <c r="Z1381" s="132"/>
      <c r="AA1381" s="132"/>
      <c r="AB1381" s="132"/>
      <c r="AC1381" s="132"/>
      <c r="AD1381" s="132"/>
      <c r="AE1381" s="132"/>
      <c r="AF1381" s="132"/>
      <c r="AG1381" s="132"/>
      <c r="AH1381" s="132"/>
      <c r="AI1381" s="132"/>
      <c r="AJ1381" s="132"/>
      <c r="AK1381" s="132"/>
      <c r="AL1381" s="132"/>
      <c r="AM1381" s="132"/>
      <c r="AN1381" s="132"/>
      <c r="AO1381" s="132"/>
      <c r="AP1381" s="132"/>
      <c r="AQ1381" s="132"/>
      <c r="AR1381" s="132"/>
      <c r="AS1381" s="132"/>
      <c r="AT1381" s="132"/>
      <c r="AU1381" s="132"/>
      <c r="AV1381" s="132"/>
      <c r="AW1381" s="132"/>
      <c r="AX1381" s="132"/>
      <c r="AY1381" s="132"/>
      <c r="AZ1381" s="132"/>
      <c r="BA1381" s="132"/>
      <c r="BB1381" s="132"/>
      <c r="BC1381" s="132"/>
      <c r="BD1381" s="132"/>
      <c r="BE1381" s="132"/>
      <c r="BF1381" s="132"/>
      <c r="BG1381" s="132"/>
      <c r="BH1381" s="132"/>
      <c r="BI1381" s="132"/>
      <c r="BJ1381" s="132"/>
      <c r="BK1381" s="132"/>
      <c r="BL1381" s="132"/>
      <c r="BM1381" s="132"/>
      <c r="BN1381" s="132"/>
      <c r="BO1381" s="132"/>
    </row>
    <row r="1382" spans="1:67" s="269" customFormat="1" ht="23.25" customHeight="1" x14ac:dyDescent="0.2">
      <c r="A1382" s="185"/>
      <c r="B1382" s="298"/>
      <c r="C1382" s="299"/>
      <c r="D1382" s="188"/>
      <c r="E1382" s="188"/>
      <c r="F1382" s="188"/>
      <c r="G1382" s="188"/>
      <c r="H1382" s="188"/>
      <c r="I1382" s="177"/>
      <c r="J1382" s="300"/>
      <c r="K1382" s="196">
        <f>SUM(K1378:K1381)</f>
        <v>60000</v>
      </c>
      <c r="L1382" s="193"/>
      <c r="M1382" s="193"/>
      <c r="N1382" s="132"/>
      <c r="O1382" s="132"/>
      <c r="P1382" s="132"/>
      <c r="Q1382" s="132"/>
      <c r="R1382" s="132"/>
      <c r="S1382" s="132"/>
      <c r="T1382" s="132"/>
      <c r="U1382" s="132"/>
      <c r="V1382" s="132"/>
      <c r="W1382" s="132"/>
      <c r="X1382" s="132"/>
      <c r="Y1382" s="132"/>
      <c r="Z1382" s="132"/>
      <c r="AA1382" s="132"/>
      <c r="AB1382" s="132"/>
      <c r="AC1382" s="132"/>
      <c r="AD1382" s="132"/>
      <c r="AE1382" s="132"/>
      <c r="AF1382" s="132"/>
      <c r="AG1382" s="132"/>
      <c r="AH1382" s="132"/>
      <c r="AI1382" s="132"/>
      <c r="AJ1382" s="132"/>
      <c r="AK1382" s="132"/>
      <c r="AL1382" s="132"/>
      <c r="AM1382" s="132"/>
      <c r="AN1382" s="132"/>
      <c r="AO1382" s="132"/>
      <c r="AP1382" s="132"/>
      <c r="AQ1382" s="132"/>
      <c r="AR1382" s="132"/>
      <c r="AS1382" s="132"/>
      <c r="AT1382" s="132"/>
      <c r="AU1382" s="132"/>
      <c r="AV1382" s="132"/>
      <c r="AW1382" s="132"/>
      <c r="AX1382" s="132"/>
      <c r="AY1382" s="132"/>
      <c r="AZ1382" s="132"/>
      <c r="BA1382" s="132"/>
      <c r="BB1382" s="132"/>
      <c r="BC1382" s="132"/>
      <c r="BD1382" s="132"/>
      <c r="BE1382" s="132"/>
      <c r="BF1382" s="132"/>
      <c r="BG1382" s="132"/>
      <c r="BH1382" s="132"/>
      <c r="BI1382" s="132"/>
      <c r="BJ1382" s="132"/>
      <c r="BK1382" s="132"/>
      <c r="BL1382" s="132"/>
      <c r="BM1382" s="132"/>
      <c r="BN1382" s="132"/>
      <c r="BO1382" s="132"/>
    </row>
    <row r="1383" spans="1:67" s="269" customFormat="1" ht="23.25" customHeight="1" x14ac:dyDescent="0.2">
      <c r="A1383" s="163">
        <v>346</v>
      </c>
      <c r="B1383" s="265" t="s">
        <v>1883</v>
      </c>
      <c r="C1383" s="266"/>
      <c r="D1383" s="166" t="s">
        <v>107</v>
      </c>
      <c r="E1383" s="166"/>
      <c r="F1383" s="166"/>
      <c r="G1383" s="166"/>
      <c r="H1383" s="166"/>
      <c r="I1383" s="217" t="s">
        <v>1884</v>
      </c>
      <c r="J1383" s="267" t="s">
        <v>641</v>
      </c>
      <c r="K1383" s="268">
        <f>7000*70%</f>
        <v>4900</v>
      </c>
      <c r="L1383" s="171" t="s">
        <v>111</v>
      </c>
      <c r="M1383" s="171" t="s">
        <v>1885</v>
      </c>
      <c r="N1383" s="132"/>
      <c r="O1383" s="132"/>
      <c r="P1383" s="132"/>
      <c r="Q1383" s="132"/>
      <c r="R1383" s="132"/>
      <c r="S1383" s="132"/>
      <c r="T1383" s="132"/>
      <c r="U1383" s="132"/>
      <c r="V1383" s="132"/>
      <c r="W1383" s="132"/>
      <c r="X1383" s="132"/>
      <c r="Y1383" s="132"/>
      <c r="Z1383" s="132"/>
      <c r="AA1383" s="132"/>
      <c r="AB1383" s="132"/>
      <c r="AC1383" s="132"/>
      <c r="AD1383" s="132"/>
      <c r="AE1383" s="132"/>
      <c r="AF1383" s="132"/>
      <c r="AG1383" s="132"/>
      <c r="AH1383" s="132"/>
      <c r="AI1383" s="132"/>
      <c r="AJ1383" s="132"/>
      <c r="AK1383" s="132"/>
      <c r="AL1383" s="132"/>
      <c r="AM1383" s="132"/>
      <c r="AN1383" s="132"/>
      <c r="AO1383" s="132"/>
      <c r="AP1383" s="132"/>
      <c r="AQ1383" s="132"/>
      <c r="AR1383" s="132"/>
      <c r="AS1383" s="132"/>
      <c r="AT1383" s="132"/>
      <c r="AU1383" s="132"/>
      <c r="AV1383" s="132"/>
      <c r="AW1383" s="132"/>
      <c r="AX1383" s="132"/>
      <c r="AY1383" s="132"/>
      <c r="AZ1383" s="132"/>
      <c r="BA1383" s="132"/>
      <c r="BB1383" s="132"/>
      <c r="BC1383" s="132"/>
      <c r="BD1383" s="132"/>
      <c r="BE1383" s="132"/>
      <c r="BF1383" s="132"/>
      <c r="BG1383" s="132"/>
      <c r="BH1383" s="132"/>
      <c r="BI1383" s="132"/>
      <c r="BJ1383" s="132"/>
      <c r="BK1383" s="132"/>
      <c r="BL1383" s="132"/>
      <c r="BM1383" s="132"/>
      <c r="BN1383" s="132"/>
      <c r="BO1383" s="132"/>
    </row>
    <row r="1384" spans="1:67" s="269" customFormat="1" ht="23.25" customHeight="1" x14ac:dyDescent="0.2">
      <c r="A1384" s="173"/>
      <c r="B1384" s="270"/>
      <c r="C1384" s="271"/>
      <c r="D1384" s="176"/>
      <c r="E1384" s="176"/>
      <c r="F1384" s="176"/>
      <c r="G1384" s="176"/>
      <c r="H1384" s="176"/>
      <c r="I1384" s="184" t="s">
        <v>1886</v>
      </c>
      <c r="J1384" s="272" t="s">
        <v>641</v>
      </c>
      <c r="K1384" s="214">
        <f>7000*10%</f>
        <v>700</v>
      </c>
      <c r="L1384" s="181"/>
      <c r="M1384" s="181"/>
      <c r="N1384" s="132"/>
      <c r="O1384" s="132"/>
      <c r="P1384" s="132"/>
      <c r="Q1384" s="132"/>
      <c r="R1384" s="132"/>
      <c r="S1384" s="132"/>
      <c r="T1384" s="132"/>
      <c r="U1384" s="132"/>
      <c r="V1384" s="132"/>
      <c r="W1384" s="132"/>
      <c r="X1384" s="132"/>
      <c r="Y1384" s="132"/>
      <c r="Z1384" s="132"/>
      <c r="AA1384" s="132"/>
      <c r="AB1384" s="132"/>
      <c r="AC1384" s="132"/>
      <c r="AD1384" s="132"/>
      <c r="AE1384" s="132"/>
      <c r="AF1384" s="132"/>
      <c r="AG1384" s="132"/>
      <c r="AH1384" s="132"/>
      <c r="AI1384" s="132"/>
      <c r="AJ1384" s="132"/>
      <c r="AK1384" s="132"/>
      <c r="AL1384" s="132"/>
      <c r="AM1384" s="132"/>
      <c r="AN1384" s="132"/>
      <c r="AO1384" s="132"/>
      <c r="AP1384" s="132"/>
      <c r="AQ1384" s="132"/>
      <c r="AR1384" s="132"/>
      <c r="AS1384" s="132"/>
      <c r="AT1384" s="132"/>
      <c r="AU1384" s="132"/>
      <c r="AV1384" s="132"/>
      <c r="AW1384" s="132"/>
      <c r="AX1384" s="132"/>
      <c r="AY1384" s="132"/>
      <c r="AZ1384" s="132"/>
      <c r="BA1384" s="132"/>
      <c r="BB1384" s="132"/>
      <c r="BC1384" s="132"/>
      <c r="BD1384" s="132"/>
      <c r="BE1384" s="132"/>
      <c r="BF1384" s="132"/>
      <c r="BG1384" s="132"/>
      <c r="BH1384" s="132"/>
      <c r="BI1384" s="132"/>
      <c r="BJ1384" s="132"/>
      <c r="BK1384" s="132"/>
      <c r="BL1384" s="132"/>
      <c r="BM1384" s="132"/>
      <c r="BN1384" s="132"/>
      <c r="BO1384" s="132"/>
    </row>
    <row r="1385" spans="1:67" s="269" customFormat="1" ht="23.25" customHeight="1" x14ac:dyDescent="0.2">
      <c r="A1385" s="173"/>
      <c r="B1385" s="270"/>
      <c r="C1385" s="271"/>
      <c r="D1385" s="176"/>
      <c r="E1385" s="176"/>
      <c r="F1385" s="176"/>
      <c r="G1385" s="176"/>
      <c r="H1385" s="176"/>
      <c r="I1385" s="184" t="s">
        <v>1887</v>
      </c>
      <c r="J1385" s="272" t="s">
        <v>641</v>
      </c>
      <c r="K1385" s="214">
        <f t="shared" ref="K1385:K1386" si="29">7000*10%</f>
        <v>700</v>
      </c>
      <c r="L1385" s="181"/>
      <c r="M1385" s="181"/>
      <c r="N1385" s="132"/>
      <c r="O1385" s="132"/>
      <c r="P1385" s="132"/>
      <c r="Q1385" s="132"/>
      <c r="R1385" s="132"/>
      <c r="S1385" s="132"/>
      <c r="T1385" s="132"/>
      <c r="U1385" s="132"/>
      <c r="V1385" s="132"/>
      <c r="W1385" s="132"/>
      <c r="X1385" s="132"/>
      <c r="Y1385" s="132"/>
      <c r="Z1385" s="132"/>
      <c r="AA1385" s="132"/>
      <c r="AB1385" s="132"/>
      <c r="AC1385" s="132"/>
      <c r="AD1385" s="132"/>
      <c r="AE1385" s="132"/>
      <c r="AF1385" s="132"/>
      <c r="AG1385" s="132"/>
      <c r="AH1385" s="132"/>
      <c r="AI1385" s="132"/>
      <c r="AJ1385" s="132"/>
      <c r="AK1385" s="132"/>
      <c r="AL1385" s="132"/>
      <c r="AM1385" s="132"/>
      <c r="AN1385" s="132"/>
      <c r="AO1385" s="132"/>
      <c r="AP1385" s="132"/>
      <c r="AQ1385" s="132"/>
      <c r="AR1385" s="132"/>
      <c r="AS1385" s="132"/>
      <c r="AT1385" s="132"/>
      <c r="AU1385" s="132"/>
      <c r="AV1385" s="132"/>
      <c r="AW1385" s="132"/>
      <c r="AX1385" s="132"/>
      <c r="AY1385" s="132"/>
      <c r="AZ1385" s="132"/>
      <c r="BA1385" s="132"/>
      <c r="BB1385" s="132"/>
      <c r="BC1385" s="132"/>
      <c r="BD1385" s="132"/>
      <c r="BE1385" s="132"/>
      <c r="BF1385" s="132"/>
      <c r="BG1385" s="132"/>
      <c r="BH1385" s="132"/>
      <c r="BI1385" s="132"/>
      <c r="BJ1385" s="132"/>
      <c r="BK1385" s="132"/>
      <c r="BL1385" s="132"/>
      <c r="BM1385" s="132"/>
      <c r="BN1385" s="132"/>
      <c r="BO1385" s="132"/>
    </row>
    <row r="1386" spans="1:67" s="269" customFormat="1" ht="23.25" customHeight="1" x14ac:dyDescent="0.2">
      <c r="A1386" s="173"/>
      <c r="B1386" s="270"/>
      <c r="C1386" s="271"/>
      <c r="D1386" s="176"/>
      <c r="E1386" s="176"/>
      <c r="F1386" s="176"/>
      <c r="G1386" s="176"/>
      <c r="H1386" s="176"/>
      <c r="I1386" s="184" t="s">
        <v>1888</v>
      </c>
      <c r="J1386" s="272" t="s">
        <v>641</v>
      </c>
      <c r="K1386" s="214">
        <f t="shared" si="29"/>
        <v>700</v>
      </c>
      <c r="L1386" s="181"/>
      <c r="M1386" s="181"/>
      <c r="N1386" s="132"/>
      <c r="O1386" s="132"/>
      <c r="P1386" s="132"/>
      <c r="Q1386" s="132"/>
      <c r="R1386" s="132"/>
      <c r="S1386" s="132"/>
      <c r="T1386" s="132"/>
      <c r="U1386" s="132"/>
      <c r="V1386" s="132"/>
      <c r="W1386" s="132"/>
      <c r="X1386" s="132"/>
      <c r="Y1386" s="132"/>
      <c r="Z1386" s="132"/>
      <c r="AA1386" s="132"/>
      <c r="AB1386" s="132"/>
      <c r="AC1386" s="132"/>
      <c r="AD1386" s="132"/>
      <c r="AE1386" s="132"/>
      <c r="AF1386" s="132"/>
      <c r="AG1386" s="132"/>
      <c r="AH1386" s="132"/>
      <c r="AI1386" s="132"/>
      <c r="AJ1386" s="132"/>
      <c r="AK1386" s="132"/>
      <c r="AL1386" s="132"/>
      <c r="AM1386" s="132"/>
      <c r="AN1386" s="132"/>
      <c r="AO1386" s="132"/>
      <c r="AP1386" s="132"/>
      <c r="AQ1386" s="132"/>
      <c r="AR1386" s="132"/>
      <c r="AS1386" s="132"/>
      <c r="AT1386" s="132"/>
      <c r="AU1386" s="132"/>
      <c r="AV1386" s="132"/>
      <c r="AW1386" s="132"/>
      <c r="AX1386" s="132"/>
      <c r="AY1386" s="132"/>
      <c r="AZ1386" s="132"/>
      <c r="BA1386" s="132"/>
      <c r="BB1386" s="132"/>
      <c r="BC1386" s="132"/>
      <c r="BD1386" s="132"/>
      <c r="BE1386" s="132"/>
      <c r="BF1386" s="132"/>
      <c r="BG1386" s="132"/>
      <c r="BH1386" s="132"/>
      <c r="BI1386" s="132"/>
      <c r="BJ1386" s="132"/>
      <c r="BK1386" s="132"/>
      <c r="BL1386" s="132"/>
      <c r="BM1386" s="132"/>
      <c r="BN1386" s="132"/>
      <c r="BO1386" s="132"/>
    </row>
    <row r="1387" spans="1:67" s="269" customFormat="1" ht="23.25" customHeight="1" x14ac:dyDescent="0.2">
      <c r="A1387" s="185"/>
      <c r="B1387" s="273"/>
      <c r="C1387" s="274"/>
      <c r="D1387" s="188"/>
      <c r="E1387" s="188"/>
      <c r="F1387" s="188"/>
      <c r="G1387" s="188"/>
      <c r="H1387" s="188"/>
      <c r="I1387" s="202"/>
      <c r="J1387" s="275"/>
      <c r="K1387" s="247">
        <f>SUM(K1383:K1386)</f>
        <v>7000</v>
      </c>
      <c r="L1387" s="193"/>
      <c r="M1387" s="193"/>
      <c r="N1387" s="132"/>
      <c r="O1387" s="132"/>
      <c r="P1387" s="132"/>
      <c r="Q1387" s="132"/>
      <c r="R1387" s="132"/>
      <c r="S1387" s="132"/>
      <c r="T1387" s="132"/>
      <c r="U1387" s="132"/>
      <c r="V1387" s="132"/>
      <c r="W1387" s="132"/>
      <c r="X1387" s="132"/>
      <c r="Y1387" s="132"/>
      <c r="Z1387" s="132"/>
      <c r="AA1387" s="132"/>
      <c r="AB1387" s="132"/>
      <c r="AC1387" s="132"/>
      <c r="AD1387" s="132"/>
      <c r="AE1387" s="132"/>
      <c r="AF1387" s="132"/>
      <c r="AG1387" s="132"/>
      <c r="AH1387" s="132"/>
      <c r="AI1387" s="132"/>
      <c r="AJ1387" s="132"/>
      <c r="AK1387" s="132"/>
      <c r="AL1387" s="132"/>
      <c r="AM1387" s="132"/>
      <c r="AN1387" s="132"/>
      <c r="AO1387" s="132"/>
      <c r="AP1387" s="132"/>
      <c r="AQ1387" s="132"/>
      <c r="AR1387" s="132"/>
      <c r="AS1387" s="132"/>
      <c r="AT1387" s="132"/>
      <c r="AU1387" s="132"/>
      <c r="AV1387" s="132"/>
      <c r="AW1387" s="132"/>
      <c r="AX1387" s="132"/>
      <c r="AY1387" s="132"/>
      <c r="AZ1387" s="132"/>
      <c r="BA1387" s="132"/>
      <c r="BB1387" s="132"/>
      <c r="BC1387" s="132"/>
      <c r="BD1387" s="132"/>
      <c r="BE1387" s="132"/>
      <c r="BF1387" s="132"/>
      <c r="BG1387" s="132"/>
      <c r="BH1387" s="132"/>
      <c r="BI1387" s="132"/>
      <c r="BJ1387" s="132"/>
      <c r="BK1387" s="132"/>
      <c r="BL1387" s="132"/>
      <c r="BM1387" s="132"/>
      <c r="BN1387" s="132"/>
      <c r="BO1387" s="132"/>
    </row>
    <row r="1388" spans="1:67" s="269" customFormat="1" ht="23.25" customHeight="1" x14ac:dyDescent="0.2">
      <c r="A1388" s="163">
        <v>347</v>
      </c>
      <c r="B1388" s="265" t="s">
        <v>1889</v>
      </c>
      <c r="C1388" s="266"/>
      <c r="D1388" s="166" t="s">
        <v>107</v>
      </c>
      <c r="E1388" s="166"/>
      <c r="F1388" s="166"/>
      <c r="G1388" s="166"/>
      <c r="H1388" s="166"/>
      <c r="I1388" s="276" t="s">
        <v>1890</v>
      </c>
      <c r="J1388" s="277" t="s">
        <v>641</v>
      </c>
      <c r="K1388" s="278">
        <f>9000*70%</f>
        <v>6300</v>
      </c>
      <c r="L1388" s="171" t="s">
        <v>111</v>
      </c>
      <c r="M1388" s="171" t="s">
        <v>1891</v>
      </c>
      <c r="N1388" s="132"/>
      <c r="O1388" s="132"/>
      <c r="P1388" s="132"/>
      <c r="Q1388" s="132"/>
      <c r="R1388" s="132"/>
      <c r="S1388" s="132"/>
      <c r="T1388" s="132"/>
      <c r="U1388" s="132"/>
      <c r="V1388" s="132"/>
      <c r="W1388" s="132"/>
      <c r="X1388" s="132"/>
      <c r="Y1388" s="132"/>
      <c r="Z1388" s="132"/>
      <c r="AA1388" s="132"/>
      <c r="AB1388" s="132"/>
      <c r="AC1388" s="132"/>
      <c r="AD1388" s="132"/>
      <c r="AE1388" s="132"/>
      <c r="AF1388" s="132"/>
      <c r="AG1388" s="132"/>
      <c r="AH1388" s="132"/>
      <c r="AI1388" s="132"/>
      <c r="AJ1388" s="132"/>
      <c r="AK1388" s="132"/>
      <c r="AL1388" s="132"/>
      <c r="AM1388" s="132"/>
      <c r="AN1388" s="132"/>
      <c r="AO1388" s="132"/>
      <c r="AP1388" s="132"/>
      <c r="AQ1388" s="132"/>
      <c r="AR1388" s="132"/>
      <c r="AS1388" s="132"/>
      <c r="AT1388" s="132"/>
      <c r="AU1388" s="132"/>
      <c r="AV1388" s="132"/>
      <c r="AW1388" s="132"/>
      <c r="AX1388" s="132"/>
      <c r="AY1388" s="132"/>
      <c r="AZ1388" s="132"/>
      <c r="BA1388" s="132"/>
      <c r="BB1388" s="132"/>
      <c r="BC1388" s="132"/>
      <c r="BD1388" s="132"/>
      <c r="BE1388" s="132"/>
      <c r="BF1388" s="132"/>
      <c r="BG1388" s="132"/>
      <c r="BH1388" s="132"/>
      <c r="BI1388" s="132"/>
      <c r="BJ1388" s="132"/>
      <c r="BK1388" s="132"/>
      <c r="BL1388" s="132"/>
      <c r="BM1388" s="132"/>
      <c r="BN1388" s="132"/>
      <c r="BO1388" s="132"/>
    </row>
    <row r="1389" spans="1:67" s="269" customFormat="1" ht="23.25" customHeight="1" x14ac:dyDescent="0.2">
      <c r="A1389" s="173"/>
      <c r="B1389" s="270"/>
      <c r="C1389" s="271"/>
      <c r="D1389" s="176"/>
      <c r="E1389" s="176"/>
      <c r="F1389" s="176"/>
      <c r="G1389" s="176"/>
      <c r="H1389" s="176"/>
      <c r="I1389" s="184" t="s">
        <v>1892</v>
      </c>
      <c r="J1389" s="272" t="s">
        <v>641</v>
      </c>
      <c r="K1389" s="214">
        <f>9000*10%</f>
        <v>900</v>
      </c>
      <c r="L1389" s="181"/>
      <c r="M1389" s="181"/>
      <c r="N1389" s="132"/>
      <c r="O1389" s="132"/>
      <c r="P1389" s="132"/>
      <c r="Q1389" s="132"/>
      <c r="R1389" s="132"/>
      <c r="S1389" s="132"/>
      <c r="T1389" s="132"/>
      <c r="U1389" s="132"/>
      <c r="V1389" s="132"/>
      <c r="W1389" s="132"/>
      <c r="X1389" s="132"/>
      <c r="Y1389" s="132"/>
      <c r="Z1389" s="132"/>
      <c r="AA1389" s="132"/>
      <c r="AB1389" s="132"/>
      <c r="AC1389" s="132"/>
      <c r="AD1389" s="132"/>
      <c r="AE1389" s="132"/>
      <c r="AF1389" s="132"/>
      <c r="AG1389" s="132"/>
      <c r="AH1389" s="132"/>
      <c r="AI1389" s="132"/>
      <c r="AJ1389" s="132"/>
      <c r="AK1389" s="132"/>
      <c r="AL1389" s="132"/>
      <c r="AM1389" s="132"/>
      <c r="AN1389" s="132"/>
      <c r="AO1389" s="132"/>
      <c r="AP1389" s="132"/>
      <c r="AQ1389" s="132"/>
      <c r="AR1389" s="132"/>
      <c r="AS1389" s="132"/>
      <c r="AT1389" s="132"/>
      <c r="AU1389" s="132"/>
      <c r="AV1389" s="132"/>
      <c r="AW1389" s="132"/>
      <c r="AX1389" s="132"/>
      <c r="AY1389" s="132"/>
      <c r="AZ1389" s="132"/>
      <c r="BA1389" s="132"/>
      <c r="BB1389" s="132"/>
      <c r="BC1389" s="132"/>
      <c r="BD1389" s="132"/>
      <c r="BE1389" s="132"/>
      <c r="BF1389" s="132"/>
      <c r="BG1389" s="132"/>
      <c r="BH1389" s="132"/>
      <c r="BI1389" s="132"/>
      <c r="BJ1389" s="132"/>
      <c r="BK1389" s="132"/>
      <c r="BL1389" s="132"/>
      <c r="BM1389" s="132"/>
      <c r="BN1389" s="132"/>
      <c r="BO1389" s="132"/>
    </row>
    <row r="1390" spans="1:67" s="269" customFormat="1" ht="23.25" customHeight="1" x14ac:dyDescent="0.2">
      <c r="A1390" s="173"/>
      <c r="B1390" s="270"/>
      <c r="C1390" s="271"/>
      <c r="D1390" s="176"/>
      <c r="E1390" s="176"/>
      <c r="F1390" s="176"/>
      <c r="G1390" s="176"/>
      <c r="H1390" s="176"/>
      <c r="I1390" s="184" t="s">
        <v>1886</v>
      </c>
      <c r="J1390" s="272" t="s">
        <v>641</v>
      </c>
      <c r="K1390" s="214">
        <f t="shared" ref="K1390:K1391" si="30">9000*10%</f>
        <v>900</v>
      </c>
      <c r="L1390" s="181"/>
      <c r="M1390" s="181"/>
      <c r="N1390" s="132"/>
      <c r="O1390" s="132"/>
      <c r="P1390" s="132"/>
      <c r="Q1390" s="132"/>
      <c r="R1390" s="132"/>
      <c r="S1390" s="132"/>
      <c r="T1390" s="132"/>
      <c r="U1390" s="132"/>
      <c r="V1390" s="132"/>
      <c r="W1390" s="132"/>
      <c r="X1390" s="132"/>
      <c r="Y1390" s="132"/>
      <c r="Z1390" s="132"/>
      <c r="AA1390" s="132"/>
      <c r="AB1390" s="132"/>
      <c r="AC1390" s="132"/>
      <c r="AD1390" s="132"/>
      <c r="AE1390" s="132"/>
      <c r="AF1390" s="132"/>
      <c r="AG1390" s="132"/>
      <c r="AH1390" s="132"/>
      <c r="AI1390" s="132"/>
      <c r="AJ1390" s="132"/>
      <c r="AK1390" s="132"/>
      <c r="AL1390" s="132"/>
      <c r="AM1390" s="132"/>
      <c r="AN1390" s="132"/>
      <c r="AO1390" s="132"/>
      <c r="AP1390" s="132"/>
      <c r="AQ1390" s="132"/>
      <c r="AR1390" s="132"/>
      <c r="AS1390" s="132"/>
      <c r="AT1390" s="132"/>
      <c r="AU1390" s="132"/>
      <c r="AV1390" s="132"/>
      <c r="AW1390" s="132"/>
      <c r="AX1390" s="132"/>
      <c r="AY1390" s="132"/>
      <c r="AZ1390" s="132"/>
      <c r="BA1390" s="132"/>
      <c r="BB1390" s="132"/>
      <c r="BC1390" s="132"/>
      <c r="BD1390" s="132"/>
      <c r="BE1390" s="132"/>
      <c r="BF1390" s="132"/>
      <c r="BG1390" s="132"/>
      <c r="BH1390" s="132"/>
      <c r="BI1390" s="132"/>
      <c r="BJ1390" s="132"/>
      <c r="BK1390" s="132"/>
      <c r="BL1390" s="132"/>
      <c r="BM1390" s="132"/>
      <c r="BN1390" s="132"/>
      <c r="BO1390" s="132"/>
    </row>
    <row r="1391" spans="1:67" s="269" customFormat="1" ht="23.25" customHeight="1" x14ac:dyDescent="0.2">
      <c r="A1391" s="173"/>
      <c r="B1391" s="270"/>
      <c r="C1391" s="271"/>
      <c r="D1391" s="176"/>
      <c r="E1391" s="176"/>
      <c r="F1391" s="176"/>
      <c r="G1391" s="176"/>
      <c r="H1391" s="176"/>
      <c r="I1391" s="184" t="s">
        <v>1893</v>
      </c>
      <c r="J1391" s="272" t="s">
        <v>641</v>
      </c>
      <c r="K1391" s="214">
        <f t="shared" si="30"/>
        <v>900</v>
      </c>
      <c r="L1391" s="181"/>
      <c r="M1391" s="181"/>
      <c r="N1391" s="132"/>
      <c r="O1391" s="132"/>
      <c r="P1391" s="132"/>
      <c r="Q1391" s="132"/>
      <c r="R1391" s="132"/>
      <c r="S1391" s="132"/>
      <c r="T1391" s="132"/>
      <c r="U1391" s="132"/>
      <c r="V1391" s="132"/>
      <c r="W1391" s="132"/>
      <c r="X1391" s="132"/>
      <c r="Y1391" s="132"/>
      <c r="Z1391" s="132"/>
      <c r="AA1391" s="132"/>
      <c r="AB1391" s="132"/>
      <c r="AC1391" s="132"/>
      <c r="AD1391" s="132"/>
      <c r="AE1391" s="132"/>
      <c r="AF1391" s="132"/>
      <c r="AG1391" s="132"/>
      <c r="AH1391" s="132"/>
      <c r="AI1391" s="132"/>
      <c r="AJ1391" s="132"/>
      <c r="AK1391" s="132"/>
      <c r="AL1391" s="132"/>
      <c r="AM1391" s="132"/>
      <c r="AN1391" s="132"/>
      <c r="AO1391" s="132"/>
      <c r="AP1391" s="132"/>
      <c r="AQ1391" s="132"/>
      <c r="AR1391" s="132"/>
      <c r="AS1391" s="132"/>
      <c r="AT1391" s="132"/>
      <c r="AU1391" s="132"/>
      <c r="AV1391" s="132"/>
      <c r="AW1391" s="132"/>
      <c r="AX1391" s="132"/>
      <c r="AY1391" s="132"/>
      <c r="AZ1391" s="132"/>
      <c r="BA1391" s="132"/>
      <c r="BB1391" s="132"/>
      <c r="BC1391" s="132"/>
      <c r="BD1391" s="132"/>
      <c r="BE1391" s="132"/>
      <c r="BF1391" s="132"/>
      <c r="BG1391" s="132"/>
      <c r="BH1391" s="132"/>
      <c r="BI1391" s="132"/>
      <c r="BJ1391" s="132"/>
      <c r="BK1391" s="132"/>
      <c r="BL1391" s="132"/>
      <c r="BM1391" s="132"/>
      <c r="BN1391" s="132"/>
      <c r="BO1391" s="132"/>
    </row>
    <row r="1392" spans="1:67" s="269" customFormat="1" ht="23.25" customHeight="1" x14ac:dyDescent="0.2">
      <c r="A1392" s="185"/>
      <c r="B1392" s="273"/>
      <c r="C1392" s="274"/>
      <c r="D1392" s="188"/>
      <c r="E1392" s="188"/>
      <c r="F1392" s="188"/>
      <c r="G1392" s="188"/>
      <c r="H1392" s="188"/>
      <c r="I1392" s="177"/>
      <c r="J1392" s="300"/>
      <c r="K1392" s="196">
        <f>SUM(K1388:K1391)</f>
        <v>9000</v>
      </c>
      <c r="L1392" s="193"/>
      <c r="M1392" s="193"/>
      <c r="N1392" s="132"/>
      <c r="O1392" s="132"/>
      <c r="P1392" s="132"/>
      <c r="Q1392" s="132"/>
      <c r="R1392" s="132"/>
      <c r="S1392" s="132"/>
      <c r="T1392" s="132"/>
      <c r="U1392" s="132"/>
      <c r="V1392" s="132"/>
      <c r="W1392" s="132"/>
      <c r="X1392" s="132"/>
      <c r="Y1392" s="132"/>
      <c r="Z1392" s="132"/>
      <c r="AA1392" s="132"/>
      <c r="AB1392" s="132"/>
      <c r="AC1392" s="132"/>
      <c r="AD1392" s="132"/>
      <c r="AE1392" s="132"/>
      <c r="AF1392" s="132"/>
      <c r="AG1392" s="132"/>
      <c r="AH1392" s="132"/>
      <c r="AI1392" s="132"/>
      <c r="AJ1392" s="132"/>
      <c r="AK1392" s="132"/>
      <c r="AL1392" s="132"/>
      <c r="AM1392" s="132"/>
      <c r="AN1392" s="132"/>
      <c r="AO1392" s="132"/>
      <c r="AP1392" s="132"/>
      <c r="AQ1392" s="132"/>
      <c r="AR1392" s="132"/>
      <c r="AS1392" s="132"/>
      <c r="AT1392" s="132"/>
      <c r="AU1392" s="132"/>
      <c r="AV1392" s="132"/>
      <c r="AW1392" s="132"/>
      <c r="AX1392" s="132"/>
      <c r="AY1392" s="132"/>
      <c r="AZ1392" s="132"/>
      <c r="BA1392" s="132"/>
      <c r="BB1392" s="132"/>
      <c r="BC1392" s="132"/>
      <c r="BD1392" s="132"/>
      <c r="BE1392" s="132"/>
      <c r="BF1392" s="132"/>
      <c r="BG1392" s="132"/>
      <c r="BH1392" s="132"/>
      <c r="BI1392" s="132"/>
      <c r="BJ1392" s="132"/>
      <c r="BK1392" s="132"/>
      <c r="BL1392" s="132"/>
      <c r="BM1392" s="132"/>
      <c r="BN1392" s="132"/>
      <c r="BO1392" s="132"/>
    </row>
    <row r="1393" spans="1:67" s="269" customFormat="1" ht="23.25" customHeight="1" x14ac:dyDescent="0.2">
      <c r="A1393" s="163">
        <v>348</v>
      </c>
      <c r="B1393" s="265" t="s">
        <v>1894</v>
      </c>
      <c r="C1393" s="266"/>
      <c r="D1393" s="166" t="s">
        <v>107</v>
      </c>
      <c r="E1393" s="166"/>
      <c r="F1393" s="166"/>
      <c r="G1393" s="166"/>
      <c r="H1393" s="166"/>
      <c r="I1393" s="217" t="s">
        <v>1895</v>
      </c>
      <c r="J1393" s="267" t="s">
        <v>641</v>
      </c>
      <c r="K1393" s="268">
        <f>10000*70%</f>
        <v>7000</v>
      </c>
      <c r="L1393" s="171" t="s">
        <v>111</v>
      </c>
      <c r="M1393" s="171" t="s">
        <v>1896</v>
      </c>
      <c r="N1393" s="132"/>
      <c r="O1393" s="132"/>
      <c r="P1393" s="132"/>
      <c r="Q1393" s="132"/>
      <c r="R1393" s="132"/>
      <c r="S1393" s="132"/>
      <c r="T1393" s="132"/>
      <c r="U1393" s="132"/>
      <c r="V1393" s="132"/>
      <c r="W1393" s="132"/>
      <c r="X1393" s="132"/>
      <c r="Y1393" s="132"/>
      <c r="Z1393" s="132"/>
      <c r="AA1393" s="132"/>
      <c r="AB1393" s="132"/>
      <c r="AC1393" s="132"/>
      <c r="AD1393" s="132"/>
      <c r="AE1393" s="132"/>
      <c r="AF1393" s="132"/>
      <c r="AG1393" s="132"/>
      <c r="AH1393" s="132"/>
      <c r="AI1393" s="132"/>
      <c r="AJ1393" s="132"/>
      <c r="AK1393" s="132"/>
      <c r="AL1393" s="132"/>
      <c r="AM1393" s="132"/>
      <c r="AN1393" s="132"/>
      <c r="AO1393" s="132"/>
      <c r="AP1393" s="132"/>
      <c r="AQ1393" s="132"/>
      <c r="AR1393" s="132"/>
      <c r="AS1393" s="132"/>
      <c r="AT1393" s="132"/>
      <c r="AU1393" s="132"/>
      <c r="AV1393" s="132"/>
      <c r="AW1393" s="132"/>
      <c r="AX1393" s="132"/>
      <c r="AY1393" s="132"/>
      <c r="AZ1393" s="132"/>
      <c r="BA1393" s="132"/>
      <c r="BB1393" s="132"/>
      <c r="BC1393" s="132"/>
      <c r="BD1393" s="132"/>
      <c r="BE1393" s="132"/>
      <c r="BF1393" s="132"/>
      <c r="BG1393" s="132"/>
      <c r="BH1393" s="132"/>
      <c r="BI1393" s="132"/>
      <c r="BJ1393" s="132"/>
      <c r="BK1393" s="132"/>
      <c r="BL1393" s="132"/>
      <c r="BM1393" s="132"/>
      <c r="BN1393" s="132"/>
      <c r="BO1393" s="132"/>
    </row>
    <row r="1394" spans="1:67" s="269" customFormat="1" ht="23.25" customHeight="1" x14ac:dyDescent="0.2">
      <c r="A1394" s="173"/>
      <c r="B1394" s="270"/>
      <c r="C1394" s="271"/>
      <c r="D1394" s="176"/>
      <c r="E1394" s="176"/>
      <c r="F1394" s="176"/>
      <c r="G1394" s="176"/>
      <c r="H1394" s="176"/>
      <c r="I1394" s="184" t="s">
        <v>1893</v>
      </c>
      <c r="J1394" s="272" t="s">
        <v>641</v>
      </c>
      <c r="K1394" s="214">
        <f t="shared" ref="K1394:K1396" si="31">10000*10%</f>
        <v>1000</v>
      </c>
      <c r="L1394" s="181"/>
      <c r="M1394" s="181"/>
      <c r="N1394" s="132"/>
      <c r="O1394" s="132"/>
      <c r="P1394" s="132"/>
      <c r="Q1394" s="132"/>
      <c r="R1394" s="132"/>
      <c r="S1394" s="132"/>
      <c r="T1394" s="132"/>
      <c r="U1394" s="132"/>
      <c r="V1394" s="132"/>
      <c r="W1394" s="132"/>
      <c r="X1394" s="132"/>
      <c r="Y1394" s="132"/>
      <c r="Z1394" s="132"/>
      <c r="AA1394" s="132"/>
      <c r="AB1394" s="132"/>
      <c r="AC1394" s="132"/>
      <c r="AD1394" s="132"/>
      <c r="AE1394" s="132"/>
      <c r="AF1394" s="132"/>
      <c r="AG1394" s="132"/>
      <c r="AH1394" s="132"/>
      <c r="AI1394" s="132"/>
      <c r="AJ1394" s="132"/>
      <c r="AK1394" s="132"/>
      <c r="AL1394" s="132"/>
      <c r="AM1394" s="132"/>
      <c r="AN1394" s="132"/>
      <c r="AO1394" s="132"/>
      <c r="AP1394" s="132"/>
      <c r="AQ1394" s="132"/>
      <c r="AR1394" s="132"/>
      <c r="AS1394" s="132"/>
      <c r="AT1394" s="132"/>
      <c r="AU1394" s="132"/>
      <c r="AV1394" s="132"/>
      <c r="AW1394" s="132"/>
      <c r="AX1394" s="132"/>
      <c r="AY1394" s="132"/>
      <c r="AZ1394" s="132"/>
      <c r="BA1394" s="132"/>
      <c r="BB1394" s="132"/>
      <c r="BC1394" s="132"/>
      <c r="BD1394" s="132"/>
      <c r="BE1394" s="132"/>
      <c r="BF1394" s="132"/>
      <c r="BG1394" s="132"/>
      <c r="BH1394" s="132"/>
      <c r="BI1394" s="132"/>
      <c r="BJ1394" s="132"/>
      <c r="BK1394" s="132"/>
      <c r="BL1394" s="132"/>
      <c r="BM1394" s="132"/>
      <c r="BN1394" s="132"/>
      <c r="BO1394" s="132"/>
    </row>
    <row r="1395" spans="1:67" s="269" customFormat="1" ht="23.25" customHeight="1" x14ac:dyDescent="0.2">
      <c r="A1395" s="173"/>
      <c r="B1395" s="270"/>
      <c r="C1395" s="271"/>
      <c r="D1395" s="176"/>
      <c r="E1395" s="176"/>
      <c r="F1395" s="176"/>
      <c r="G1395" s="176"/>
      <c r="H1395" s="176"/>
      <c r="I1395" s="184" t="s">
        <v>1886</v>
      </c>
      <c r="J1395" s="272" t="s">
        <v>641</v>
      </c>
      <c r="K1395" s="214">
        <f t="shared" si="31"/>
        <v>1000</v>
      </c>
      <c r="L1395" s="181"/>
      <c r="M1395" s="181"/>
      <c r="N1395" s="132"/>
      <c r="O1395" s="132"/>
      <c r="P1395" s="132"/>
      <c r="Q1395" s="132"/>
      <c r="R1395" s="132"/>
      <c r="S1395" s="132"/>
      <c r="T1395" s="132"/>
      <c r="U1395" s="132"/>
      <c r="V1395" s="132"/>
      <c r="W1395" s="132"/>
      <c r="X1395" s="132"/>
      <c r="Y1395" s="132"/>
      <c r="Z1395" s="132"/>
      <c r="AA1395" s="132"/>
      <c r="AB1395" s="132"/>
      <c r="AC1395" s="132"/>
      <c r="AD1395" s="132"/>
      <c r="AE1395" s="132"/>
      <c r="AF1395" s="132"/>
      <c r="AG1395" s="132"/>
      <c r="AH1395" s="132"/>
      <c r="AI1395" s="132"/>
      <c r="AJ1395" s="132"/>
      <c r="AK1395" s="132"/>
      <c r="AL1395" s="132"/>
      <c r="AM1395" s="132"/>
      <c r="AN1395" s="132"/>
      <c r="AO1395" s="132"/>
      <c r="AP1395" s="132"/>
      <c r="AQ1395" s="132"/>
      <c r="AR1395" s="132"/>
      <c r="AS1395" s="132"/>
      <c r="AT1395" s="132"/>
      <c r="AU1395" s="132"/>
      <c r="AV1395" s="132"/>
      <c r="AW1395" s="132"/>
      <c r="AX1395" s="132"/>
      <c r="AY1395" s="132"/>
      <c r="AZ1395" s="132"/>
      <c r="BA1395" s="132"/>
      <c r="BB1395" s="132"/>
      <c r="BC1395" s="132"/>
      <c r="BD1395" s="132"/>
      <c r="BE1395" s="132"/>
      <c r="BF1395" s="132"/>
      <c r="BG1395" s="132"/>
      <c r="BH1395" s="132"/>
      <c r="BI1395" s="132"/>
      <c r="BJ1395" s="132"/>
      <c r="BK1395" s="132"/>
      <c r="BL1395" s="132"/>
      <c r="BM1395" s="132"/>
      <c r="BN1395" s="132"/>
      <c r="BO1395" s="132"/>
    </row>
    <row r="1396" spans="1:67" s="269" customFormat="1" ht="23.25" customHeight="1" x14ac:dyDescent="0.2">
      <c r="A1396" s="173"/>
      <c r="B1396" s="270"/>
      <c r="C1396" s="271"/>
      <c r="D1396" s="176"/>
      <c r="E1396" s="176"/>
      <c r="F1396" s="176"/>
      <c r="G1396" s="176"/>
      <c r="H1396" s="176"/>
      <c r="I1396" s="184" t="s">
        <v>1888</v>
      </c>
      <c r="J1396" s="272" t="s">
        <v>641</v>
      </c>
      <c r="K1396" s="214">
        <f t="shared" si="31"/>
        <v>1000</v>
      </c>
      <c r="L1396" s="181"/>
      <c r="M1396" s="181"/>
      <c r="N1396" s="132"/>
      <c r="O1396" s="132"/>
      <c r="P1396" s="132"/>
      <c r="Q1396" s="132"/>
      <c r="R1396" s="132"/>
      <c r="S1396" s="132"/>
      <c r="T1396" s="132"/>
      <c r="U1396" s="132"/>
      <c r="V1396" s="132"/>
      <c r="W1396" s="132"/>
      <c r="X1396" s="132"/>
      <c r="Y1396" s="132"/>
      <c r="Z1396" s="132"/>
      <c r="AA1396" s="132"/>
      <c r="AB1396" s="132"/>
      <c r="AC1396" s="132"/>
      <c r="AD1396" s="132"/>
      <c r="AE1396" s="132"/>
      <c r="AF1396" s="132"/>
      <c r="AG1396" s="132"/>
      <c r="AH1396" s="132"/>
      <c r="AI1396" s="132"/>
      <c r="AJ1396" s="132"/>
      <c r="AK1396" s="132"/>
      <c r="AL1396" s="132"/>
      <c r="AM1396" s="132"/>
      <c r="AN1396" s="132"/>
      <c r="AO1396" s="132"/>
      <c r="AP1396" s="132"/>
      <c r="AQ1396" s="132"/>
      <c r="AR1396" s="132"/>
      <c r="AS1396" s="132"/>
      <c r="AT1396" s="132"/>
      <c r="AU1396" s="132"/>
      <c r="AV1396" s="132"/>
      <c r="AW1396" s="132"/>
      <c r="AX1396" s="132"/>
      <c r="AY1396" s="132"/>
      <c r="AZ1396" s="132"/>
      <c r="BA1396" s="132"/>
      <c r="BB1396" s="132"/>
      <c r="BC1396" s="132"/>
      <c r="BD1396" s="132"/>
      <c r="BE1396" s="132"/>
      <c r="BF1396" s="132"/>
      <c r="BG1396" s="132"/>
      <c r="BH1396" s="132"/>
      <c r="BI1396" s="132"/>
      <c r="BJ1396" s="132"/>
      <c r="BK1396" s="132"/>
      <c r="BL1396" s="132"/>
      <c r="BM1396" s="132"/>
      <c r="BN1396" s="132"/>
      <c r="BO1396" s="132"/>
    </row>
    <row r="1397" spans="1:67" s="269" customFormat="1" ht="23.25" customHeight="1" x14ac:dyDescent="0.2">
      <c r="A1397" s="185"/>
      <c r="B1397" s="273"/>
      <c r="C1397" s="274"/>
      <c r="D1397" s="188"/>
      <c r="E1397" s="188"/>
      <c r="F1397" s="188"/>
      <c r="G1397" s="188"/>
      <c r="H1397" s="188"/>
      <c r="I1397" s="202"/>
      <c r="J1397" s="275"/>
      <c r="K1397" s="247">
        <f>SUM(K1393:K1396)</f>
        <v>10000</v>
      </c>
      <c r="L1397" s="193"/>
      <c r="M1397" s="193"/>
      <c r="N1397" s="132"/>
      <c r="O1397" s="132"/>
      <c r="P1397" s="132"/>
      <c r="Q1397" s="132"/>
      <c r="R1397" s="132"/>
      <c r="S1397" s="132"/>
      <c r="T1397" s="132"/>
      <c r="U1397" s="132"/>
      <c r="V1397" s="132"/>
      <c r="W1397" s="132"/>
      <c r="X1397" s="132"/>
      <c r="Y1397" s="132"/>
      <c r="Z1397" s="132"/>
      <c r="AA1397" s="132"/>
      <c r="AB1397" s="132"/>
      <c r="AC1397" s="132"/>
      <c r="AD1397" s="132"/>
      <c r="AE1397" s="132"/>
      <c r="AF1397" s="132"/>
      <c r="AG1397" s="132"/>
      <c r="AH1397" s="132"/>
      <c r="AI1397" s="132"/>
      <c r="AJ1397" s="132"/>
      <c r="AK1397" s="132"/>
      <c r="AL1397" s="132"/>
      <c r="AM1397" s="132"/>
      <c r="AN1397" s="132"/>
      <c r="AO1397" s="132"/>
      <c r="AP1397" s="132"/>
      <c r="AQ1397" s="132"/>
      <c r="AR1397" s="132"/>
      <c r="AS1397" s="132"/>
      <c r="AT1397" s="132"/>
      <c r="AU1397" s="132"/>
      <c r="AV1397" s="132"/>
      <c r="AW1397" s="132"/>
      <c r="AX1397" s="132"/>
      <c r="AY1397" s="132"/>
      <c r="AZ1397" s="132"/>
      <c r="BA1397" s="132"/>
      <c r="BB1397" s="132"/>
      <c r="BC1397" s="132"/>
      <c r="BD1397" s="132"/>
      <c r="BE1397" s="132"/>
      <c r="BF1397" s="132"/>
      <c r="BG1397" s="132"/>
      <c r="BH1397" s="132"/>
      <c r="BI1397" s="132"/>
      <c r="BJ1397" s="132"/>
      <c r="BK1397" s="132"/>
      <c r="BL1397" s="132"/>
      <c r="BM1397" s="132"/>
      <c r="BN1397" s="132"/>
      <c r="BO1397" s="132"/>
    </row>
    <row r="1398" spans="1:67" s="269" customFormat="1" ht="23.25" customHeight="1" x14ac:dyDescent="0.2">
      <c r="A1398" s="163">
        <v>349</v>
      </c>
      <c r="B1398" s="293" t="s">
        <v>1897</v>
      </c>
      <c r="C1398" s="294"/>
      <c r="D1398" s="166" t="s">
        <v>107</v>
      </c>
      <c r="E1398" s="166"/>
      <c r="F1398" s="166"/>
      <c r="G1398" s="166"/>
      <c r="H1398" s="166"/>
      <c r="I1398" s="276" t="s">
        <v>1898</v>
      </c>
      <c r="J1398" s="277" t="s">
        <v>641</v>
      </c>
      <c r="K1398" s="278">
        <f>18000*50%</f>
        <v>9000</v>
      </c>
      <c r="L1398" s="171" t="s">
        <v>111</v>
      </c>
      <c r="M1398" s="171" t="s">
        <v>1899</v>
      </c>
      <c r="N1398" s="132"/>
      <c r="O1398" s="132"/>
      <c r="P1398" s="132"/>
      <c r="Q1398" s="132"/>
      <c r="R1398" s="132"/>
      <c r="S1398" s="132"/>
      <c r="T1398" s="132"/>
      <c r="U1398" s="132"/>
      <c r="V1398" s="132"/>
      <c r="W1398" s="132"/>
      <c r="X1398" s="132"/>
      <c r="Y1398" s="132"/>
      <c r="Z1398" s="132"/>
      <c r="AA1398" s="132"/>
      <c r="AB1398" s="132"/>
      <c r="AC1398" s="132"/>
      <c r="AD1398" s="132"/>
      <c r="AE1398" s="132"/>
      <c r="AF1398" s="132"/>
      <c r="AG1398" s="132"/>
      <c r="AH1398" s="132"/>
      <c r="AI1398" s="132"/>
      <c r="AJ1398" s="132"/>
      <c r="AK1398" s="132"/>
      <c r="AL1398" s="132"/>
      <c r="AM1398" s="132"/>
      <c r="AN1398" s="132"/>
      <c r="AO1398" s="132"/>
      <c r="AP1398" s="132"/>
      <c r="AQ1398" s="132"/>
      <c r="AR1398" s="132"/>
      <c r="AS1398" s="132"/>
      <c r="AT1398" s="132"/>
      <c r="AU1398" s="132"/>
      <c r="AV1398" s="132"/>
      <c r="AW1398" s="132"/>
      <c r="AX1398" s="132"/>
      <c r="AY1398" s="132"/>
      <c r="AZ1398" s="132"/>
      <c r="BA1398" s="132"/>
      <c r="BB1398" s="132"/>
      <c r="BC1398" s="132"/>
      <c r="BD1398" s="132"/>
      <c r="BE1398" s="132"/>
      <c r="BF1398" s="132"/>
      <c r="BG1398" s="132"/>
      <c r="BH1398" s="132"/>
      <c r="BI1398" s="132"/>
      <c r="BJ1398" s="132"/>
      <c r="BK1398" s="132"/>
      <c r="BL1398" s="132"/>
      <c r="BM1398" s="132"/>
      <c r="BN1398" s="132"/>
      <c r="BO1398" s="132"/>
    </row>
    <row r="1399" spans="1:67" s="269" customFormat="1" ht="23.25" customHeight="1" x14ac:dyDescent="0.2">
      <c r="A1399" s="173"/>
      <c r="B1399" s="288"/>
      <c r="C1399" s="289"/>
      <c r="D1399" s="176"/>
      <c r="E1399" s="176"/>
      <c r="F1399" s="176"/>
      <c r="G1399" s="176"/>
      <c r="H1399" s="176"/>
      <c r="I1399" s="184" t="s">
        <v>1900</v>
      </c>
      <c r="J1399" s="272" t="s">
        <v>641</v>
      </c>
      <c r="K1399" s="214">
        <f>18000*10%</f>
        <v>1800</v>
      </c>
      <c r="L1399" s="181"/>
      <c r="M1399" s="181"/>
      <c r="N1399" s="132"/>
      <c r="O1399" s="132"/>
      <c r="P1399" s="132"/>
      <c r="Q1399" s="132"/>
      <c r="R1399" s="132"/>
      <c r="S1399" s="132"/>
      <c r="T1399" s="132"/>
      <c r="U1399" s="132"/>
      <c r="V1399" s="132"/>
      <c r="W1399" s="132"/>
      <c r="X1399" s="132"/>
      <c r="Y1399" s="132"/>
      <c r="Z1399" s="132"/>
      <c r="AA1399" s="132"/>
      <c r="AB1399" s="132"/>
      <c r="AC1399" s="132"/>
      <c r="AD1399" s="132"/>
      <c r="AE1399" s="132"/>
      <c r="AF1399" s="132"/>
      <c r="AG1399" s="132"/>
      <c r="AH1399" s="132"/>
      <c r="AI1399" s="132"/>
      <c r="AJ1399" s="132"/>
      <c r="AK1399" s="132"/>
      <c r="AL1399" s="132"/>
      <c r="AM1399" s="132"/>
      <c r="AN1399" s="132"/>
      <c r="AO1399" s="132"/>
      <c r="AP1399" s="132"/>
      <c r="AQ1399" s="132"/>
      <c r="AR1399" s="132"/>
      <c r="AS1399" s="132"/>
      <c r="AT1399" s="132"/>
      <c r="AU1399" s="132"/>
      <c r="AV1399" s="132"/>
      <c r="AW1399" s="132"/>
      <c r="AX1399" s="132"/>
      <c r="AY1399" s="132"/>
      <c r="AZ1399" s="132"/>
      <c r="BA1399" s="132"/>
      <c r="BB1399" s="132"/>
      <c r="BC1399" s="132"/>
      <c r="BD1399" s="132"/>
      <c r="BE1399" s="132"/>
      <c r="BF1399" s="132"/>
      <c r="BG1399" s="132"/>
      <c r="BH1399" s="132"/>
      <c r="BI1399" s="132"/>
      <c r="BJ1399" s="132"/>
      <c r="BK1399" s="132"/>
      <c r="BL1399" s="132"/>
      <c r="BM1399" s="132"/>
      <c r="BN1399" s="132"/>
      <c r="BO1399" s="132"/>
    </row>
    <row r="1400" spans="1:67" s="269" customFormat="1" ht="23.25" customHeight="1" x14ac:dyDescent="0.2">
      <c r="A1400" s="173"/>
      <c r="B1400" s="288"/>
      <c r="C1400" s="289"/>
      <c r="D1400" s="176"/>
      <c r="E1400" s="176"/>
      <c r="F1400" s="176"/>
      <c r="G1400" s="176"/>
      <c r="H1400" s="176"/>
      <c r="I1400" s="184" t="s">
        <v>1901</v>
      </c>
      <c r="J1400" s="272" t="s">
        <v>641</v>
      </c>
      <c r="K1400" s="214">
        <f t="shared" ref="K1400:K1403" si="32">18000*10%</f>
        <v>1800</v>
      </c>
      <c r="L1400" s="181"/>
      <c r="M1400" s="181"/>
      <c r="N1400" s="132"/>
      <c r="O1400" s="132"/>
      <c r="P1400" s="132"/>
      <c r="Q1400" s="132"/>
      <c r="R1400" s="132"/>
      <c r="S1400" s="132"/>
      <c r="T1400" s="132"/>
      <c r="U1400" s="132"/>
      <c r="V1400" s="132"/>
      <c r="W1400" s="132"/>
      <c r="X1400" s="132"/>
      <c r="Y1400" s="132"/>
      <c r="Z1400" s="132"/>
      <c r="AA1400" s="132"/>
      <c r="AB1400" s="132"/>
      <c r="AC1400" s="132"/>
      <c r="AD1400" s="132"/>
      <c r="AE1400" s="132"/>
      <c r="AF1400" s="132"/>
      <c r="AG1400" s="132"/>
      <c r="AH1400" s="132"/>
      <c r="AI1400" s="132"/>
      <c r="AJ1400" s="132"/>
      <c r="AK1400" s="132"/>
      <c r="AL1400" s="132"/>
      <c r="AM1400" s="132"/>
      <c r="AN1400" s="132"/>
      <c r="AO1400" s="132"/>
      <c r="AP1400" s="132"/>
      <c r="AQ1400" s="132"/>
      <c r="AR1400" s="132"/>
      <c r="AS1400" s="132"/>
      <c r="AT1400" s="132"/>
      <c r="AU1400" s="132"/>
      <c r="AV1400" s="132"/>
      <c r="AW1400" s="132"/>
      <c r="AX1400" s="132"/>
      <c r="AY1400" s="132"/>
      <c r="AZ1400" s="132"/>
      <c r="BA1400" s="132"/>
      <c r="BB1400" s="132"/>
      <c r="BC1400" s="132"/>
      <c r="BD1400" s="132"/>
      <c r="BE1400" s="132"/>
      <c r="BF1400" s="132"/>
      <c r="BG1400" s="132"/>
      <c r="BH1400" s="132"/>
      <c r="BI1400" s="132"/>
      <c r="BJ1400" s="132"/>
      <c r="BK1400" s="132"/>
      <c r="BL1400" s="132"/>
      <c r="BM1400" s="132"/>
      <c r="BN1400" s="132"/>
      <c r="BO1400" s="132"/>
    </row>
    <row r="1401" spans="1:67" s="269" customFormat="1" ht="23.25" customHeight="1" x14ac:dyDescent="0.2">
      <c r="A1401" s="173"/>
      <c r="B1401" s="288"/>
      <c r="C1401" s="289"/>
      <c r="D1401" s="176"/>
      <c r="E1401" s="176"/>
      <c r="F1401" s="176"/>
      <c r="G1401" s="176"/>
      <c r="H1401" s="176"/>
      <c r="I1401" s="184" t="s">
        <v>1810</v>
      </c>
      <c r="J1401" s="272" t="s">
        <v>641</v>
      </c>
      <c r="K1401" s="214">
        <f t="shared" si="32"/>
        <v>1800</v>
      </c>
      <c r="L1401" s="181"/>
      <c r="M1401" s="181"/>
      <c r="N1401" s="132"/>
      <c r="O1401" s="132"/>
      <c r="P1401" s="132"/>
      <c r="Q1401" s="132"/>
      <c r="R1401" s="132"/>
      <c r="S1401" s="132"/>
      <c r="T1401" s="132"/>
      <c r="U1401" s="132"/>
      <c r="V1401" s="132"/>
      <c r="W1401" s="132"/>
      <c r="X1401" s="132"/>
      <c r="Y1401" s="132"/>
      <c r="Z1401" s="132"/>
      <c r="AA1401" s="132"/>
      <c r="AB1401" s="132"/>
      <c r="AC1401" s="132"/>
      <c r="AD1401" s="132"/>
      <c r="AE1401" s="132"/>
      <c r="AF1401" s="132"/>
      <c r="AG1401" s="132"/>
      <c r="AH1401" s="132"/>
      <c r="AI1401" s="132"/>
      <c r="AJ1401" s="132"/>
      <c r="AK1401" s="132"/>
      <c r="AL1401" s="132"/>
      <c r="AM1401" s="132"/>
      <c r="AN1401" s="132"/>
      <c r="AO1401" s="132"/>
      <c r="AP1401" s="132"/>
      <c r="AQ1401" s="132"/>
      <c r="AR1401" s="132"/>
      <c r="AS1401" s="132"/>
      <c r="AT1401" s="132"/>
      <c r="AU1401" s="132"/>
      <c r="AV1401" s="132"/>
      <c r="AW1401" s="132"/>
      <c r="AX1401" s="132"/>
      <c r="AY1401" s="132"/>
      <c r="AZ1401" s="132"/>
      <c r="BA1401" s="132"/>
      <c r="BB1401" s="132"/>
      <c r="BC1401" s="132"/>
      <c r="BD1401" s="132"/>
      <c r="BE1401" s="132"/>
      <c r="BF1401" s="132"/>
      <c r="BG1401" s="132"/>
      <c r="BH1401" s="132"/>
      <c r="BI1401" s="132"/>
      <c r="BJ1401" s="132"/>
      <c r="BK1401" s="132"/>
      <c r="BL1401" s="132"/>
      <c r="BM1401" s="132"/>
      <c r="BN1401" s="132"/>
      <c r="BO1401" s="132"/>
    </row>
    <row r="1402" spans="1:67" s="269" customFormat="1" ht="23.25" customHeight="1" x14ac:dyDescent="0.2">
      <c r="A1402" s="173"/>
      <c r="B1402" s="288"/>
      <c r="C1402" s="289"/>
      <c r="D1402" s="176"/>
      <c r="E1402" s="176"/>
      <c r="F1402" s="176"/>
      <c r="G1402" s="176"/>
      <c r="H1402" s="176"/>
      <c r="I1402" s="184" t="s">
        <v>1902</v>
      </c>
      <c r="J1402" s="272" t="s">
        <v>641</v>
      </c>
      <c r="K1402" s="214">
        <f t="shared" si="32"/>
        <v>1800</v>
      </c>
      <c r="L1402" s="181"/>
      <c r="M1402" s="181"/>
      <c r="N1402" s="132"/>
      <c r="O1402" s="132"/>
      <c r="P1402" s="132"/>
      <c r="Q1402" s="132"/>
      <c r="R1402" s="132"/>
      <c r="S1402" s="132"/>
      <c r="T1402" s="132"/>
      <c r="U1402" s="132"/>
      <c r="V1402" s="132"/>
      <c r="W1402" s="132"/>
      <c r="X1402" s="132"/>
      <c r="Y1402" s="132"/>
      <c r="Z1402" s="132"/>
      <c r="AA1402" s="132"/>
      <c r="AB1402" s="132"/>
      <c r="AC1402" s="132"/>
      <c r="AD1402" s="132"/>
      <c r="AE1402" s="132"/>
      <c r="AF1402" s="132"/>
      <c r="AG1402" s="132"/>
      <c r="AH1402" s="132"/>
      <c r="AI1402" s="132"/>
      <c r="AJ1402" s="132"/>
      <c r="AK1402" s="132"/>
      <c r="AL1402" s="132"/>
      <c r="AM1402" s="132"/>
      <c r="AN1402" s="132"/>
      <c r="AO1402" s="132"/>
      <c r="AP1402" s="132"/>
      <c r="AQ1402" s="132"/>
      <c r="AR1402" s="132"/>
      <c r="AS1402" s="132"/>
      <c r="AT1402" s="132"/>
      <c r="AU1402" s="132"/>
      <c r="AV1402" s="132"/>
      <c r="AW1402" s="132"/>
      <c r="AX1402" s="132"/>
      <c r="AY1402" s="132"/>
      <c r="AZ1402" s="132"/>
      <c r="BA1402" s="132"/>
      <c r="BB1402" s="132"/>
      <c r="BC1402" s="132"/>
      <c r="BD1402" s="132"/>
      <c r="BE1402" s="132"/>
      <c r="BF1402" s="132"/>
      <c r="BG1402" s="132"/>
      <c r="BH1402" s="132"/>
      <c r="BI1402" s="132"/>
      <c r="BJ1402" s="132"/>
      <c r="BK1402" s="132"/>
      <c r="BL1402" s="132"/>
      <c r="BM1402" s="132"/>
      <c r="BN1402" s="132"/>
      <c r="BO1402" s="132"/>
    </row>
    <row r="1403" spans="1:67" s="269" customFormat="1" ht="23.25" customHeight="1" x14ac:dyDescent="0.2">
      <c r="A1403" s="173"/>
      <c r="B1403" s="288"/>
      <c r="C1403" s="289"/>
      <c r="D1403" s="176"/>
      <c r="E1403" s="176"/>
      <c r="F1403" s="176"/>
      <c r="G1403" s="176"/>
      <c r="H1403" s="176"/>
      <c r="I1403" s="184" t="s">
        <v>1903</v>
      </c>
      <c r="J1403" s="272" t="s">
        <v>641</v>
      </c>
      <c r="K1403" s="214">
        <f t="shared" si="32"/>
        <v>1800</v>
      </c>
      <c r="L1403" s="181"/>
      <c r="M1403" s="181"/>
      <c r="N1403" s="132"/>
      <c r="O1403" s="132"/>
      <c r="P1403" s="132"/>
      <c r="Q1403" s="132"/>
      <c r="R1403" s="132"/>
      <c r="S1403" s="132"/>
      <c r="T1403" s="132"/>
      <c r="U1403" s="132"/>
      <c r="V1403" s="132"/>
      <c r="W1403" s="132"/>
      <c r="X1403" s="132"/>
      <c r="Y1403" s="132"/>
      <c r="Z1403" s="132"/>
      <c r="AA1403" s="132"/>
      <c r="AB1403" s="132"/>
      <c r="AC1403" s="132"/>
      <c r="AD1403" s="132"/>
      <c r="AE1403" s="132"/>
      <c r="AF1403" s="132"/>
      <c r="AG1403" s="132"/>
      <c r="AH1403" s="132"/>
      <c r="AI1403" s="132"/>
      <c r="AJ1403" s="132"/>
      <c r="AK1403" s="132"/>
      <c r="AL1403" s="132"/>
      <c r="AM1403" s="132"/>
      <c r="AN1403" s="132"/>
      <c r="AO1403" s="132"/>
      <c r="AP1403" s="132"/>
      <c r="AQ1403" s="132"/>
      <c r="AR1403" s="132"/>
      <c r="AS1403" s="132"/>
      <c r="AT1403" s="132"/>
      <c r="AU1403" s="132"/>
      <c r="AV1403" s="132"/>
      <c r="AW1403" s="132"/>
      <c r="AX1403" s="132"/>
      <c r="AY1403" s="132"/>
      <c r="AZ1403" s="132"/>
      <c r="BA1403" s="132"/>
      <c r="BB1403" s="132"/>
      <c r="BC1403" s="132"/>
      <c r="BD1403" s="132"/>
      <c r="BE1403" s="132"/>
      <c r="BF1403" s="132"/>
      <c r="BG1403" s="132"/>
      <c r="BH1403" s="132"/>
      <c r="BI1403" s="132"/>
      <c r="BJ1403" s="132"/>
      <c r="BK1403" s="132"/>
      <c r="BL1403" s="132"/>
      <c r="BM1403" s="132"/>
      <c r="BN1403" s="132"/>
      <c r="BO1403" s="132"/>
    </row>
    <row r="1404" spans="1:67" s="269" customFormat="1" ht="23.25" customHeight="1" x14ac:dyDescent="0.2">
      <c r="A1404" s="185"/>
      <c r="B1404" s="298"/>
      <c r="C1404" s="299"/>
      <c r="D1404" s="188"/>
      <c r="E1404" s="188"/>
      <c r="F1404" s="188"/>
      <c r="G1404" s="188"/>
      <c r="H1404" s="188"/>
      <c r="I1404" s="177"/>
      <c r="J1404" s="300"/>
      <c r="K1404" s="196">
        <f>SUM(K1398:K1403)</f>
        <v>18000</v>
      </c>
      <c r="L1404" s="193"/>
      <c r="M1404" s="193"/>
      <c r="N1404" s="132"/>
      <c r="O1404" s="132"/>
      <c r="P1404" s="132"/>
      <c r="Q1404" s="132"/>
      <c r="R1404" s="132"/>
      <c r="S1404" s="132"/>
      <c r="T1404" s="132"/>
      <c r="U1404" s="132"/>
      <c r="V1404" s="132"/>
      <c r="W1404" s="132"/>
      <c r="X1404" s="132"/>
      <c r="Y1404" s="132"/>
      <c r="Z1404" s="132"/>
      <c r="AA1404" s="132"/>
      <c r="AB1404" s="132"/>
      <c r="AC1404" s="132"/>
      <c r="AD1404" s="132"/>
      <c r="AE1404" s="132"/>
      <c r="AF1404" s="132"/>
      <c r="AG1404" s="132"/>
      <c r="AH1404" s="132"/>
      <c r="AI1404" s="132"/>
      <c r="AJ1404" s="132"/>
      <c r="AK1404" s="132"/>
      <c r="AL1404" s="132"/>
      <c r="AM1404" s="132"/>
      <c r="AN1404" s="132"/>
      <c r="AO1404" s="132"/>
      <c r="AP1404" s="132"/>
      <c r="AQ1404" s="132"/>
      <c r="AR1404" s="132"/>
      <c r="AS1404" s="132"/>
      <c r="AT1404" s="132"/>
      <c r="AU1404" s="132"/>
      <c r="AV1404" s="132"/>
      <c r="AW1404" s="132"/>
      <c r="AX1404" s="132"/>
      <c r="AY1404" s="132"/>
      <c r="AZ1404" s="132"/>
      <c r="BA1404" s="132"/>
      <c r="BB1404" s="132"/>
      <c r="BC1404" s="132"/>
      <c r="BD1404" s="132"/>
      <c r="BE1404" s="132"/>
      <c r="BF1404" s="132"/>
      <c r="BG1404" s="132"/>
      <c r="BH1404" s="132"/>
      <c r="BI1404" s="132"/>
      <c r="BJ1404" s="132"/>
      <c r="BK1404" s="132"/>
      <c r="BL1404" s="132"/>
      <c r="BM1404" s="132"/>
      <c r="BN1404" s="132"/>
      <c r="BO1404" s="132"/>
    </row>
    <row r="1405" spans="1:67" s="269" customFormat="1" ht="23.25" customHeight="1" x14ac:dyDescent="0.2">
      <c r="A1405" s="163">
        <v>350</v>
      </c>
      <c r="B1405" s="265" t="s">
        <v>1904</v>
      </c>
      <c r="C1405" s="266"/>
      <c r="D1405" s="166" t="s">
        <v>107</v>
      </c>
      <c r="E1405" s="166"/>
      <c r="F1405" s="166"/>
      <c r="G1405" s="166"/>
      <c r="H1405" s="166"/>
      <c r="I1405" s="217" t="s">
        <v>1905</v>
      </c>
      <c r="J1405" s="267" t="s">
        <v>641</v>
      </c>
      <c r="K1405" s="268">
        <f>2500*50%</f>
        <v>1250</v>
      </c>
      <c r="L1405" s="171" t="s">
        <v>111</v>
      </c>
      <c r="M1405" s="171" t="s">
        <v>1906</v>
      </c>
      <c r="N1405" s="132"/>
      <c r="O1405" s="132"/>
      <c r="P1405" s="132"/>
      <c r="Q1405" s="132"/>
      <c r="R1405" s="132"/>
      <c r="S1405" s="132"/>
      <c r="T1405" s="132"/>
      <c r="U1405" s="132"/>
      <c r="V1405" s="132"/>
      <c r="W1405" s="132"/>
      <c r="X1405" s="132"/>
      <c r="Y1405" s="132"/>
      <c r="Z1405" s="132"/>
      <c r="AA1405" s="132"/>
      <c r="AB1405" s="132"/>
      <c r="AC1405" s="132"/>
      <c r="AD1405" s="132"/>
      <c r="AE1405" s="132"/>
      <c r="AF1405" s="132"/>
      <c r="AG1405" s="132"/>
      <c r="AH1405" s="132"/>
      <c r="AI1405" s="132"/>
      <c r="AJ1405" s="132"/>
      <c r="AK1405" s="132"/>
      <c r="AL1405" s="132"/>
      <c r="AM1405" s="132"/>
      <c r="AN1405" s="132"/>
      <c r="AO1405" s="132"/>
      <c r="AP1405" s="132"/>
      <c r="AQ1405" s="132"/>
      <c r="AR1405" s="132"/>
      <c r="AS1405" s="132"/>
      <c r="AT1405" s="132"/>
      <c r="AU1405" s="132"/>
      <c r="AV1405" s="132"/>
      <c r="AW1405" s="132"/>
      <c r="AX1405" s="132"/>
      <c r="AY1405" s="132"/>
      <c r="AZ1405" s="132"/>
      <c r="BA1405" s="132"/>
      <c r="BB1405" s="132"/>
      <c r="BC1405" s="132"/>
      <c r="BD1405" s="132"/>
      <c r="BE1405" s="132"/>
      <c r="BF1405" s="132"/>
      <c r="BG1405" s="132"/>
      <c r="BH1405" s="132"/>
      <c r="BI1405" s="132"/>
      <c r="BJ1405" s="132"/>
      <c r="BK1405" s="132"/>
      <c r="BL1405" s="132"/>
      <c r="BM1405" s="132"/>
      <c r="BN1405" s="132"/>
      <c r="BO1405" s="132"/>
    </row>
    <row r="1406" spans="1:67" s="269" customFormat="1" ht="23.25" customHeight="1" x14ac:dyDescent="0.2">
      <c r="A1406" s="173"/>
      <c r="B1406" s="270"/>
      <c r="C1406" s="271"/>
      <c r="D1406" s="176"/>
      <c r="E1406" s="176"/>
      <c r="F1406" s="176"/>
      <c r="G1406" s="176"/>
      <c r="H1406" s="176"/>
      <c r="I1406" s="184" t="s">
        <v>1886</v>
      </c>
      <c r="J1406" s="272" t="s">
        <v>641</v>
      </c>
      <c r="K1406" s="214">
        <f>2500*10%</f>
        <v>250</v>
      </c>
      <c r="L1406" s="181"/>
      <c r="M1406" s="181"/>
      <c r="N1406" s="132"/>
      <c r="O1406" s="132"/>
      <c r="P1406" s="132"/>
      <c r="Q1406" s="132"/>
      <c r="R1406" s="132"/>
      <c r="S1406" s="132"/>
      <c r="T1406" s="132"/>
      <c r="U1406" s="132"/>
      <c r="V1406" s="132"/>
      <c r="W1406" s="132"/>
      <c r="X1406" s="132"/>
      <c r="Y1406" s="132"/>
      <c r="Z1406" s="132"/>
      <c r="AA1406" s="132"/>
      <c r="AB1406" s="132"/>
      <c r="AC1406" s="132"/>
      <c r="AD1406" s="132"/>
      <c r="AE1406" s="132"/>
      <c r="AF1406" s="132"/>
      <c r="AG1406" s="132"/>
      <c r="AH1406" s="132"/>
      <c r="AI1406" s="132"/>
      <c r="AJ1406" s="132"/>
      <c r="AK1406" s="132"/>
      <c r="AL1406" s="132"/>
      <c r="AM1406" s="132"/>
      <c r="AN1406" s="132"/>
      <c r="AO1406" s="132"/>
      <c r="AP1406" s="132"/>
      <c r="AQ1406" s="132"/>
      <c r="AR1406" s="132"/>
      <c r="AS1406" s="132"/>
      <c r="AT1406" s="132"/>
      <c r="AU1406" s="132"/>
      <c r="AV1406" s="132"/>
      <c r="AW1406" s="132"/>
      <c r="AX1406" s="132"/>
      <c r="AY1406" s="132"/>
      <c r="AZ1406" s="132"/>
      <c r="BA1406" s="132"/>
      <c r="BB1406" s="132"/>
      <c r="BC1406" s="132"/>
      <c r="BD1406" s="132"/>
      <c r="BE1406" s="132"/>
      <c r="BF1406" s="132"/>
      <c r="BG1406" s="132"/>
      <c r="BH1406" s="132"/>
      <c r="BI1406" s="132"/>
      <c r="BJ1406" s="132"/>
      <c r="BK1406" s="132"/>
      <c r="BL1406" s="132"/>
      <c r="BM1406" s="132"/>
      <c r="BN1406" s="132"/>
      <c r="BO1406" s="132"/>
    </row>
    <row r="1407" spans="1:67" s="269" customFormat="1" ht="23.25" customHeight="1" x14ac:dyDescent="0.2">
      <c r="A1407" s="173"/>
      <c r="B1407" s="270"/>
      <c r="C1407" s="271"/>
      <c r="D1407" s="176"/>
      <c r="E1407" s="176"/>
      <c r="F1407" s="176"/>
      <c r="G1407" s="176"/>
      <c r="H1407" s="176"/>
      <c r="I1407" s="184" t="s">
        <v>1887</v>
      </c>
      <c r="J1407" s="272" t="s">
        <v>641</v>
      </c>
      <c r="K1407" s="214">
        <f t="shared" ref="K1407:K1410" si="33">2500*10%</f>
        <v>250</v>
      </c>
      <c r="L1407" s="181"/>
      <c r="M1407" s="181"/>
      <c r="N1407" s="132"/>
      <c r="O1407" s="132"/>
      <c r="P1407" s="132"/>
      <c r="Q1407" s="132"/>
      <c r="R1407" s="132"/>
      <c r="S1407" s="132"/>
      <c r="T1407" s="132"/>
      <c r="U1407" s="132"/>
      <c r="V1407" s="132"/>
      <c r="W1407" s="132"/>
      <c r="X1407" s="132"/>
      <c r="Y1407" s="132"/>
      <c r="Z1407" s="132"/>
      <c r="AA1407" s="132"/>
      <c r="AB1407" s="132"/>
      <c r="AC1407" s="132"/>
      <c r="AD1407" s="132"/>
      <c r="AE1407" s="132"/>
      <c r="AF1407" s="132"/>
      <c r="AG1407" s="132"/>
      <c r="AH1407" s="132"/>
      <c r="AI1407" s="132"/>
      <c r="AJ1407" s="132"/>
      <c r="AK1407" s="132"/>
      <c r="AL1407" s="132"/>
      <c r="AM1407" s="132"/>
      <c r="AN1407" s="132"/>
      <c r="AO1407" s="132"/>
      <c r="AP1407" s="132"/>
      <c r="AQ1407" s="132"/>
      <c r="AR1407" s="132"/>
      <c r="AS1407" s="132"/>
      <c r="AT1407" s="132"/>
      <c r="AU1407" s="132"/>
      <c r="AV1407" s="132"/>
      <c r="AW1407" s="132"/>
      <c r="AX1407" s="132"/>
      <c r="AY1407" s="132"/>
      <c r="AZ1407" s="132"/>
      <c r="BA1407" s="132"/>
      <c r="BB1407" s="132"/>
      <c r="BC1407" s="132"/>
      <c r="BD1407" s="132"/>
      <c r="BE1407" s="132"/>
      <c r="BF1407" s="132"/>
      <c r="BG1407" s="132"/>
      <c r="BH1407" s="132"/>
      <c r="BI1407" s="132"/>
      <c r="BJ1407" s="132"/>
      <c r="BK1407" s="132"/>
      <c r="BL1407" s="132"/>
      <c r="BM1407" s="132"/>
      <c r="BN1407" s="132"/>
      <c r="BO1407" s="132"/>
    </row>
    <row r="1408" spans="1:67" s="269" customFormat="1" ht="23.25" customHeight="1" x14ac:dyDescent="0.2">
      <c r="A1408" s="173"/>
      <c r="B1408" s="270"/>
      <c r="C1408" s="271"/>
      <c r="D1408" s="176"/>
      <c r="E1408" s="176"/>
      <c r="F1408" s="176"/>
      <c r="G1408" s="176"/>
      <c r="H1408" s="176"/>
      <c r="I1408" s="184" t="s">
        <v>1888</v>
      </c>
      <c r="J1408" s="272" t="s">
        <v>641</v>
      </c>
      <c r="K1408" s="214">
        <f t="shared" si="33"/>
        <v>250</v>
      </c>
      <c r="L1408" s="181"/>
      <c r="M1408" s="181"/>
      <c r="N1408" s="132"/>
      <c r="O1408" s="132"/>
      <c r="P1408" s="132"/>
      <c r="Q1408" s="132"/>
      <c r="R1408" s="132"/>
      <c r="S1408" s="132"/>
      <c r="T1408" s="132"/>
      <c r="U1408" s="132"/>
      <c r="V1408" s="132"/>
      <c r="W1408" s="132"/>
      <c r="X1408" s="132"/>
      <c r="Y1408" s="132"/>
      <c r="Z1408" s="132"/>
      <c r="AA1408" s="132"/>
      <c r="AB1408" s="132"/>
      <c r="AC1408" s="132"/>
      <c r="AD1408" s="132"/>
      <c r="AE1408" s="132"/>
      <c r="AF1408" s="132"/>
      <c r="AG1408" s="132"/>
      <c r="AH1408" s="132"/>
      <c r="AI1408" s="132"/>
      <c r="AJ1408" s="132"/>
      <c r="AK1408" s="132"/>
      <c r="AL1408" s="132"/>
      <c r="AM1408" s="132"/>
      <c r="AN1408" s="132"/>
      <c r="AO1408" s="132"/>
      <c r="AP1408" s="132"/>
      <c r="AQ1408" s="132"/>
      <c r="AR1408" s="132"/>
      <c r="AS1408" s="132"/>
      <c r="AT1408" s="132"/>
      <c r="AU1408" s="132"/>
      <c r="AV1408" s="132"/>
      <c r="AW1408" s="132"/>
      <c r="AX1408" s="132"/>
      <c r="AY1408" s="132"/>
      <c r="AZ1408" s="132"/>
      <c r="BA1408" s="132"/>
      <c r="BB1408" s="132"/>
      <c r="BC1408" s="132"/>
      <c r="BD1408" s="132"/>
      <c r="BE1408" s="132"/>
      <c r="BF1408" s="132"/>
      <c r="BG1408" s="132"/>
      <c r="BH1408" s="132"/>
      <c r="BI1408" s="132"/>
      <c r="BJ1408" s="132"/>
      <c r="BK1408" s="132"/>
      <c r="BL1408" s="132"/>
      <c r="BM1408" s="132"/>
      <c r="BN1408" s="132"/>
      <c r="BO1408" s="132"/>
    </row>
    <row r="1409" spans="1:67" s="269" customFormat="1" ht="23.25" customHeight="1" x14ac:dyDescent="0.2">
      <c r="A1409" s="173"/>
      <c r="B1409" s="270"/>
      <c r="C1409" s="271"/>
      <c r="D1409" s="176"/>
      <c r="E1409" s="176"/>
      <c r="F1409" s="176"/>
      <c r="G1409" s="176"/>
      <c r="H1409" s="176"/>
      <c r="I1409" s="184" t="s">
        <v>1907</v>
      </c>
      <c r="J1409" s="272" t="s">
        <v>641</v>
      </c>
      <c r="K1409" s="214">
        <f t="shared" si="33"/>
        <v>250</v>
      </c>
      <c r="L1409" s="181"/>
      <c r="M1409" s="181"/>
      <c r="N1409" s="132"/>
      <c r="O1409" s="132"/>
      <c r="P1409" s="132"/>
      <c r="Q1409" s="132"/>
      <c r="R1409" s="132"/>
      <c r="S1409" s="132"/>
      <c r="T1409" s="132"/>
      <c r="U1409" s="132"/>
      <c r="V1409" s="132"/>
      <c r="W1409" s="132"/>
      <c r="X1409" s="132"/>
      <c r="Y1409" s="132"/>
      <c r="Z1409" s="132"/>
      <c r="AA1409" s="132"/>
      <c r="AB1409" s="132"/>
      <c r="AC1409" s="132"/>
      <c r="AD1409" s="132"/>
      <c r="AE1409" s="132"/>
      <c r="AF1409" s="132"/>
      <c r="AG1409" s="132"/>
      <c r="AH1409" s="132"/>
      <c r="AI1409" s="132"/>
      <c r="AJ1409" s="132"/>
      <c r="AK1409" s="132"/>
      <c r="AL1409" s="132"/>
      <c r="AM1409" s="132"/>
      <c r="AN1409" s="132"/>
      <c r="AO1409" s="132"/>
      <c r="AP1409" s="132"/>
      <c r="AQ1409" s="132"/>
      <c r="AR1409" s="132"/>
      <c r="AS1409" s="132"/>
      <c r="AT1409" s="132"/>
      <c r="AU1409" s="132"/>
      <c r="AV1409" s="132"/>
      <c r="AW1409" s="132"/>
      <c r="AX1409" s="132"/>
      <c r="AY1409" s="132"/>
      <c r="AZ1409" s="132"/>
      <c r="BA1409" s="132"/>
      <c r="BB1409" s="132"/>
      <c r="BC1409" s="132"/>
      <c r="BD1409" s="132"/>
      <c r="BE1409" s="132"/>
      <c r="BF1409" s="132"/>
      <c r="BG1409" s="132"/>
      <c r="BH1409" s="132"/>
      <c r="BI1409" s="132"/>
      <c r="BJ1409" s="132"/>
      <c r="BK1409" s="132"/>
      <c r="BL1409" s="132"/>
      <c r="BM1409" s="132"/>
      <c r="BN1409" s="132"/>
      <c r="BO1409" s="132"/>
    </row>
    <row r="1410" spans="1:67" s="269" customFormat="1" ht="23.25" customHeight="1" x14ac:dyDescent="0.2">
      <c r="A1410" s="173"/>
      <c r="B1410" s="270"/>
      <c r="C1410" s="271"/>
      <c r="D1410" s="176"/>
      <c r="E1410" s="176"/>
      <c r="F1410" s="176"/>
      <c r="G1410" s="176"/>
      <c r="H1410" s="176"/>
      <c r="I1410" s="184" t="s">
        <v>1908</v>
      </c>
      <c r="J1410" s="272" t="s">
        <v>641</v>
      </c>
      <c r="K1410" s="214">
        <f t="shared" si="33"/>
        <v>250</v>
      </c>
      <c r="L1410" s="181"/>
      <c r="M1410" s="181"/>
      <c r="N1410" s="132"/>
      <c r="O1410" s="132"/>
      <c r="P1410" s="132"/>
      <c r="Q1410" s="132"/>
      <c r="R1410" s="132"/>
      <c r="S1410" s="132"/>
      <c r="T1410" s="132"/>
      <c r="U1410" s="132"/>
      <c r="V1410" s="132"/>
      <c r="W1410" s="132"/>
      <c r="X1410" s="132"/>
      <c r="Y1410" s="132"/>
      <c r="Z1410" s="132"/>
      <c r="AA1410" s="132"/>
      <c r="AB1410" s="132"/>
      <c r="AC1410" s="132"/>
      <c r="AD1410" s="132"/>
      <c r="AE1410" s="132"/>
      <c r="AF1410" s="132"/>
      <c r="AG1410" s="132"/>
      <c r="AH1410" s="132"/>
      <c r="AI1410" s="132"/>
      <c r="AJ1410" s="132"/>
      <c r="AK1410" s="132"/>
      <c r="AL1410" s="132"/>
      <c r="AM1410" s="132"/>
      <c r="AN1410" s="132"/>
      <c r="AO1410" s="132"/>
      <c r="AP1410" s="132"/>
      <c r="AQ1410" s="132"/>
      <c r="AR1410" s="132"/>
      <c r="AS1410" s="132"/>
      <c r="AT1410" s="132"/>
      <c r="AU1410" s="132"/>
      <c r="AV1410" s="132"/>
      <c r="AW1410" s="132"/>
      <c r="AX1410" s="132"/>
      <c r="AY1410" s="132"/>
      <c r="AZ1410" s="132"/>
      <c r="BA1410" s="132"/>
      <c r="BB1410" s="132"/>
      <c r="BC1410" s="132"/>
      <c r="BD1410" s="132"/>
      <c r="BE1410" s="132"/>
      <c r="BF1410" s="132"/>
      <c r="BG1410" s="132"/>
      <c r="BH1410" s="132"/>
      <c r="BI1410" s="132"/>
      <c r="BJ1410" s="132"/>
      <c r="BK1410" s="132"/>
      <c r="BL1410" s="132"/>
      <c r="BM1410" s="132"/>
      <c r="BN1410" s="132"/>
      <c r="BO1410" s="132"/>
    </row>
    <row r="1411" spans="1:67" s="269" customFormat="1" ht="23.25" customHeight="1" x14ac:dyDescent="0.2">
      <c r="A1411" s="185"/>
      <c r="B1411" s="273"/>
      <c r="C1411" s="274"/>
      <c r="D1411" s="188"/>
      <c r="E1411" s="188"/>
      <c r="F1411" s="188"/>
      <c r="G1411" s="188"/>
      <c r="H1411" s="188"/>
      <c r="I1411" s="202"/>
      <c r="J1411" s="275"/>
      <c r="K1411" s="247">
        <f>SUM(K1405:K1410)</f>
        <v>2500</v>
      </c>
      <c r="L1411" s="193"/>
      <c r="M1411" s="193"/>
      <c r="N1411" s="132"/>
      <c r="O1411" s="132"/>
      <c r="P1411" s="132"/>
      <c r="Q1411" s="132"/>
      <c r="R1411" s="132"/>
      <c r="S1411" s="132"/>
      <c r="T1411" s="132"/>
      <c r="U1411" s="132"/>
      <c r="V1411" s="132"/>
      <c r="W1411" s="132"/>
      <c r="X1411" s="132"/>
      <c r="Y1411" s="132"/>
      <c r="Z1411" s="132"/>
      <c r="AA1411" s="132"/>
      <c r="AB1411" s="132"/>
      <c r="AC1411" s="132"/>
      <c r="AD1411" s="132"/>
      <c r="AE1411" s="132"/>
      <c r="AF1411" s="132"/>
      <c r="AG1411" s="132"/>
      <c r="AH1411" s="132"/>
      <c r="AI1411" s="132"/>
      <c r="AJ1411" s="132"/>
      <c r="AK1411" s="132"/>
      <c r="AL1411" s="132"/>
      <c r="AM1411" s="132"/>
      <c r="AN1411" s="132"/>
      <c r="AO1411" s="132"/>
      <c r="AP1411" s="132"/>
      <c r="AQ1411" s="132"/>
      <c r="AR1411" s="132"/>
      <c r="AS1411" s="132"/>
      <c r="AT1411" s="132"/>
      <c r="AU1411" s="132"/>
      <c r="AV1411" s="132"/>
      <c r="AW1411" s="132"/>
      <c r="AX1411" s="132"/>
      <c r="AY1411" s="132"/>
      <c r="AZ1411" s="132"/>
      <c r="BA1411" s="132"/>
      <c r="BB1411" s="132"/>
      <c r="BC1411" s="132"/>
      <c r="BD1411" s="132"/>
      <c r="BE1411" s="132"/>
      <c r="BF1411" s="132"/>
      <c r="BG1411" s="132"/>
      <c r="BH1411" s="132"/>
      <c r="BI1411" s="132"/>
      <c r="BJ1411" s="132"/>
      <c r="BK1411" s="132"/>
      <c r="BL1411" s="132"/>
      <c r="BM1411" s="132"/>
      <c r="BN1411" s="132"/>
      <c r="BO1411" s="132"/>
    </row>
    <row r="1412" spans="1:67" ht="24" customHeight="1" x14ac:dyDescent="0.2">
      <c r="A1412" s="163">
        <v>351</v>
      </c>
      <c r="B1412" s="164" t="s">
        <v>1909</v>
      </c>
      <c r="C1412" s="165"/>
      <c r="D1412" s="166" t="s">
        <v>107</v>
      </c>
      <c r="E1412" s="166"/>
      <c r="F1412" s="166"/>
      <c r="G1412" s="166"/>
      <c r="H1412" s="166"/>
      <c r="I1412" s="276" t="s">
        <v>1910</v>
      </c>
      <c r="J1412" s="249" t="s">
        <v>1008</v>
      </c>
      <c r="K1412" s="206">
        <f>3500*50%</f>
        <v>1750</v>
      </c>
      <c r="L1412" s="170" t="s">
        <v>111</v>
      </c>
      <c r="M1412" s="171" t="s">
        <v>1911</v>
      </c>
      <c r="N1412" s="172"/>
    </row>
    <row r="1413" spans="1:67" x14ac:dyDescent="0.2">
      <c r="A1413" s="173"/>
      <c r="B1413" s="174"/>
      <c r="C1413" s="175"/>
      <c r="D1413" s="176"/>
      <c r="E1413" s="176"/>
      <c r="F1413" s="176"/>
      <c r="G1413" s="176"/>
      <c r="H1413" s="176"/>
      <c r="I1413" s="184" t="s">
        <v>1912</v>
      </c>
      <c r="J1413" s="207" t="s">
        <v>1020</v>
      </c>
      <c r="K1413" s="208">
        <f>3500*10%</f>
        <v>350</v>
      </c>
      <c r="L1413" s="180"/>
      <c r="M1413" s="181"/>
    </row>
    <row r="1414" spans="1:67" x14ac:dyDescent="0.2">
      <c r="A1414" s="173"/>
      <c r="B1414" s="174"/>
      <c r="C1414" s="175"/>
      <c r="D1414" s="176"/>
      <c r="E1414" s="176"/>
      <c r="F1414" s="176"/>
      <c r="G1414" s="176"/>
      <c r="H1414" s="176"/>
      <c r="I1414" s="184" t="s">
        <v>1913</v>
      </c>
      <c r="J1414" s="207" t="s">
        <v>1020</v>
      </c>
      <c r="K1414" s="208">
        <f>3500*10%</f>
        <v>350</v>
      </c>
      <c r="L1414" s="180"/>
      <c r="M1414" s="181"/>
      <c r="N1414" s="172"/>
    </row>
    <row r="1415" spans="1:67" x14ac:dyDescent="0.2">
      <c r="A1415" s="173"/>
      <c r="B1415" s="174"/>
      <c r="C1415" s="175"/>
      <c r="D1415" s="176"/>
      <c r="E1415" s="176"/>
      <c r="F1415" s="176"/>
      <c r="G1415" s="176"/>
      <c r="H1415" s="176"/>
      <c r="I1415" s="184" t="s">
        <v>1914</v>
      </c>
      <c r="J1415" s="207" t="s">
        <v>1020</v>
      </c>
      <c r="K1415" s="208">
        <f>3500*10%</f>
        <v>350</v>
      </c>
      <c r="L1415" s="180"/>
      <c r="M1415" s="181"/>
    </row>
    <row r="1416" spans="1:67" x14ac:dyDescent="0.2">
      <c r="A1416" s="173"/>
      <c r="B1416" s="174"/>
      <c r="C1416" s="175"/>
      <c r="D1416" s="176"/>
      <c r="E1416" s="176"/>
      <c r="F1416" s="176"/>
      <c r="G1416" s="176"/>
      <c r="H1416" s="176"/>
      <c r="I1416" s="184" t="s">
        <v>1915</v>
      </c>
      <c r="J1416" s="207" t="s">
        <v>1020</v>
      </c>
      <c r="K1416" s="208">
        <f>3500*10%</f>
        <v>350</v>
      </c>
      <c r="L1416" s="180"/>
      <c r="M1416" s="181"/>
    </row>
    <row r="1417" spans="1:67" x14ac:dyDescent="0.2">
      <c r="A1417" s="173"/>
      <c r="B1417" s="174"/>
      <c r="C1417" s="175"/>
      <c r="D1417" s="176"/>
      <c r="E1417" s="176"/>
      <c r="F1417" s="176"/>
      <c r="G1417" s="176"/>
      <c r="H1417" s="176"/>
      <c r="I1417" s="184" t="s">
        <v>1916</v>
      </c>
      <c r="J1417" s="207" t="s">
        <v>1020</v>
      </c>
      <c r="K1417" s="208">
        <f>3500*10%</f>
        <v>350</v>
      </c>
      <c r="L1417" s="180"/>
      <c r="M1417" s="181"/>
    </row>
    <row r="1418" spans="1:67" x14ac:dyDescent="0.2">
      <c r="A1418" s="185"/>
      <c r="B1418" s="186"/>
      <c r="C1418" s="187"/>
      <c r="D1418" s="188"/>
      <c r="E1418" s="188"/>
      <c r="F1418" s="188"/>
      <c r="G1418" s="188"/>
      <c r="H1418" s="188"/>
      <c r="I1418" s="202"/>
      <c r="J1418" s="203"/>
      <c r="K1418" s="191">
        <f>SUM(K1412:K1417)</f>
        <v>3500</v>
      </c>
      <c r="L1418" s="192"/>
      <c r="M1418" s="193"/>
    </row>
    <row r="1419" spans="1:67" ht="24" customHeight="1" x14ac:dyDescent="0.2">
      <c r="A1419" s="163">
        <v>352</v>
      </c>
      <c r="B1419" s="164" t="s">
        <v>1917</v>
      </c>
      <c r="C1419" s="165"/>
      <c r="D1419" s="166" t="s">
        <v>107</v>
      </c>
      <c r="E1419" s="166"/>
      <c r="F1419" s="166"/>
      <c r="G1419" s="166"/>
      <c r="H1419" s="166"/>
      <c r="I1419" s="276" t="s">
        <v>1918</v>
      </c>
      <c r="J1419" s="249" t="s">
        <v>1008</v>
      </c>
      <c r="K1419" s="206">
        <f>3500*70%</f>
        <v>2450</v>
      </c>
      <c r="L1419" s="170" t="s">
        <v>111</v>
      </c>
      <c r="M1419" s="171" t="s">
        <v>1919</v>
      </c>
    </row>
    <row r="1420" spans="1:67" x14ac:dyDescent="0.2">
      <c r="A1420" s="173"/>
      <c r="B1420" s="174"/>
      <c r="C1420" s="175"/>
      <c r="D1420" s="176"/>
      <c r="E1420" s="176"/>
      <c r="F1420" s="176"/>
      <c r="G1420" s="176"/>
      <c r="H1420" s="176"/>
      <c r="I1420" s="184" t="s">
        <v>1915</v>
      </c>
      <c r="J1420" s="207" t="s">
        <v>1020</v>
      </c>
      <c r="K1420" s="208">
        <f>3500*10%</f>
        <v>350</v>
      </c>
      <c r="L1420" s="180"/>
      <c r="M1420" s="181"/>
    </row>
    <row r="1421" spans="1:67" x14ac:dyDescent="0.2">
      <c r="A1421" s="173"/>
      <c r="B1421" s="174"/>
      <c r="C1421" s="175"/>
      <c r="D1421" s="176"/>
      <c r="E1421" s="176"/>
      <c r="F1421" s="176"/>
      <c r="G1421" s="176"/>
      <c r="H1421" s="176"/>
      <c r="I1421" s="184" t="s">
        <v>1920</v>
      </c>
      <c r="J1421" s="207" t="s">
        <v>1020</v>
      </c>
      <c r="K1421" s="208">
        <f>3500*10%</f>
        <v>350</v>
      </c>
      <c r="L1421" s="180"/>
      <c r="M1421" s="181"/>
    </row>
    <row r="1422" spans="1:67" x14ac:dyDescent="0.2">
      <c r="A1422" s="173"/>
      <c r="B1422" s="174"/>
      <c r="C1422" s="175"/>
      <c r="D1422" s="176"/>
      <c r="E1422" s="176"/>
      <c r="F1422" s="176"/>
      <c r="G1422" s="176"/>
      <c r="H1422" s="176"/>
      <c r="I1422" s="184" t="s">
        <v>1921</v>
      </c>
      <c r="J1422" s="207" t="s">
        <v>1020</v>
      </c>
      <c r="K1422" s="208">
        <f>3500*10%</f>
        <v>350</v>
      </c>
      <c r="L1422" s="180"/>
      <c r="M1422" s="181"/>
    </row>
    <row r="1423" spans="1:67" x14ac:dyDescent="0.2">
      <c r="A1423" s="185"/>
      <c r="B1423" s="186"/>
      <c r="C1423" s="187"/>
      <c r="D1423" s="188"/>
      <c r="E1423" s="188"/>
      <c r="F1423" s="188"/>
      <c r="G1423" s="188"/>
      <c r="H1423" s="188"/>
      <c r="I1423" s="202"/>
      <c r="J1423" s="203"/>
      <c r="K1423" s="191">
        <f>SUM(K1419:K1422)</f>
        <v>3500</v>
      </c>
      <c r="L1423" s="192"/>
      <c r="M1423" s="193"/>
    </row>
    <row r="1424" spans="1:67" ht="24.75" customHeight="1" x14ac:dyDescent="0.2">
      <c r="A1424" s="163">
        <v>353</v>
      </c>
      <c r="B1424" s="164" t="s">
        <v>1922</v>
      </c>
      <c r="C1424" s="165"/>
      <c r="D1424" s="166" t="s">
        <v>107</v>
      </c>
      <c r="E1424" s="166"/>
      <c r="F1424" s="166"/>
      <c r="G1424" s="166"/>
      <c r="H1424" s="166"/>
      <c r="I1424" s="276" t="s">
        <v>1923</v>
      </c>
      <c r="J1424" s="249" t="s">
        <v>1008</v>
      </c>
      <c r="K1424" s="206">
        <f>4000*45%</f>
        <v>1800</v>
      </c>
      <c r="L1424" s="170" t="s">
        <v>111</v>
      </c>
      <c r="M1424" s="171" t="s">
        <v>1924</v>
      </c>
    </row>
    <row r="1425" spans="1:13" x14ac:dyDescent="0.2">
      <c r="A1425" s="173"/>
      <c r="B1425" s="174"/>
      <c r="C1425" s="175"/>
      <c r="D1425" s="176"/>
      <c r="E1425" s="176"/>
      <c r="F1425" s="176"/>
      <c r="G1425" s="176"/>
      <c r="H1425" s="176"/>
      <c r="I1425" s="184" t="s">
        <v>1925</v>
      </c>
      <c r="J1425" s="207" t="s">
        <v>1020</v>
      </c>
      <c r="K1425" s="208">
        <f>4000*15%</f>
        <v>600</v>
      </c>
      <c r="L1425" s="180"/>
      <c r="M1425" s="181"/>
    </row>
    <row r="1426" spans="1:13" x14ac:dyDescent="0.2">
      <c r="A1426" s="173"/>
      <c r="B1426" s="174"/>
      <c r="C1426" s="175"/>
      <c r="D1426" s="176"/>
      <c r="E1426" s="176"/>
      <c r="F1426" s="176"/>
      <c r="G1426" s="176"/>
      <c r="H1426" s="176"/>
      <c r="I1426" s="184" t="s">
        <v>1926</v>
      </c>
      <c r="J1426" s="207" t="s">
        <v>1020</v>
      </c>
      <c r="K1426" s="208">
        <f>4000*10%</f>
        <v>400</v>
      </c>
      <c r="L1426" s="180"/>
      <c r="M1426" s="181"/>
    </row>
    <row r="1427" spans="1:13" x14ac:dyDescent="0.2">
      <c r="A1427" s="173"/>
      <c r="B1427" s="174"/>
      <c r="C1427" s="175"/>
      <c r="D1427" s="176"/>
      <c r="E1427" s="176"/>
      <c r="F1427" s="176"/>
      <c r="G1427" s="176"/>
      <c r="H1427" s="176"/>
      <c r="I1427" s="184" t="s">
        <v>1927</v>
      </c>
      <c r="J1427" s="207" t="s">
        <v>1020</v>
      </c>
      <c r="K1427" s="208">
        <f>4000*10%</f>
        <v>400</v>
      </c>
      <c r="L1427" s="180"/>
      <c r="M1427" s="181"/>
    </row>
    <row r="1428" spans="1:13" x14ac:dyDescent="0.2">
      <c r="A1428" s="173"/>
      <c r="B1428" s="174"/>
      <c r="C1428" s="175"/>
      <c r="D1428" s="176"/>
      <c r="E1428" s="176"/>
      <c r="F1428" s="176"/>
      <c r="G1428" s="176"/>
      <c r="H1428" s="176"/>
      <c r="I1428" s="184" t="s">
        <v>1928</v>
      </c>
      <c r="J1428" s="207" t="s">
        <v>1020</v>
      </c>
      <c r="K1428" s="208">
        <f>4000*10%</f>
        <v>400</v>
      </c>
      <c r="L1428" s="180"/>
      <c r="M1428" s="181"/>
    </row>
    <row r="1429" spans="1:13" x14ac:dyDescent="0.2">
      <c r="A1429" s="173"/>
      <c r="B1429" s="174"/>
      <c r="C1429" s="175"/>
      <c r="D1429" s="176"/>
      <c r="E1429" s="176"/>
      <c r="F1429" s="176"/>
      <c r="G1429" s="176"/>
      <c r="H1429" s="176"/>
      <c r="I1429" s="184" t="s">
        <v>1929</v>
      </c>
      <c r="J1429" s="207" t="s">
        <v>1020</v>
      </c>
      <c r="K1429" s="208">
        <f>4000*5%</f>
        <v>200</v>
      </c>
      <c r="L1429" s="180"/>
      <c r="M1429" s="181"/>
    </row>
    <row r="1430" spans="1:13" x14ac:dyDescent="0.2">
      <c r="A1430" s="173"/>
      <c r="B1430" s="174"/>
      <c r="C1430" s="175"/>
      <c r="D1430" s="176"/>
      <c r="E1430" s="176"/>
      <c r="F1430" s="176"/>
      <c r="G1430" s="176"/>
      <c r="H1430" s="176"/>
      <c r="I1430" s="184" t="s">
        <v>1930</v>
      </c>
      <c r="J1430" s="207" t="s">
        <v>1020</v>
      </c>
      <c r="K1430" s="208">
        <f>4000*5%</f>
        <v>200</v>
      </c>
      <c r="L1430" s="180"/>
      <c r="M1430" s="181"/>
    </row>
    <row r="1431" spans="1:13" x14ac:dyDescent="0.2">
      <c r="A1431" s="185"/>
      <c r="B1431" s="186"/>
      <c r="C1431" s="187"/>
      <c r="D1431" s="188"/>
      <c r="E1431" s="188"/>
      <c r="F1431" s="188"/>
      <c r="G1431" s="188"/>
      <c r="H1431" s="188"/>
      <c r="I1431" s="202"/>
      <c r="J1431" s="203"/>
      <c r="K1431" s="191">
        <f>SUM(K1424:K1430)</f>
        <v>4000</v>
      </c>
      <c r="L1431" s="192"/>
      <c r="M1431" s="193"/>
    </row>
    <row r="1432" spans="1:13" ht="23.25" customHeight="1" x14ac:dyDescent="0.2">
      <c r="A1432" s="163">
        <v>354</v>
      </c>
      <c r="B1432" s="164" t="s">
        <v>1931</v>
      </c>
      <c r="C1432" s="165"/>
      <c r="D1432" s="166" t="s">
        <v>107</v>
      </c>
      <c r="E1432" s="166"/>
      <c r="F1432" s="166"/>
      <c r="G1432" s="166"/>
      <c r="H1432" s="166" t="s">
        <v>137</v>
      </c>
      <c r="I1432" s="276" t="s">
        <v>1932</v>
      </c>
      <c r="J1432" s="249" t="s">
        <v>1008</v>
      </c>
      <c r="K1432" s="206">
        <f>3500*20%</f>
        <v>700</v>
      </c>
      <c r="L1432" s="170" t="s">
        <v>111</v>
      </c>
      <c r="M1432" s="171" t="s">
        <v>1933</v>
      </c>
    </row>
    <row r="1433" spans="1:13" x14ac:dyDescent="0.2">
      <c r="A1433" s="173"/>
      <c r="B1433" s="174"/>
      <c r="C1433" s="175"/>
      <c r="D1433" s="176"/>
      <c r="E1433" s="176"/>
      <c r="F1433" s="176"/>
      <c r="G1433" s="176"/>
      <c r="H1433" s="176"/>
      <c r="I1433" s="184" t="s">
        <v>1934</v>
      </c>
      <c r="J1433" s="207" t="s">
        <v>1020</v>
      </c>
      <c r="K1433" s="208">
        <f>3500*20%</f>
        <v>700</v>
      </c>
      <c r="L1433" s="180"/>
      <c r="M1433" s="181"/>
    </row>
    <row r="1434" spans="1:13" x14ac:dyDescent="0.2">
      <c r="A1434" s="173"/>
      <c r="B1434" s="174"/>
      <c r="C1434" s="175"/>
      <c r="D1434" s="176"/>
      <c r="E1434" s="176"/>
      <c r="F1434" s="176"/>
      <c r="G1434" s="176"/>
      <c r="H1434" s="176"/>
      <c r="I1434" s="184" t="s">
        <v>1935</v>
      </c>
      <c r="J1434" s="207" t="s">
        <v>1020</v>
      </c>
      <c r="K1434" s="208">
        <f>3500*60%</f>
        <v>2100</v>
      </c>
      <c r="L1434" s="180"/>
      <c r="M1434" s="181"/>
    </row>
    <row r="1435" spans="1:13" x14ac:dyDescent="0.2">
      <c r="A1435" s="185"/>
      <c r="B1435" s="186"/>
      <c r="C1435" s="187"/>
      <c r="D1435" s="188"/>
      <c r="E1435" s="188"/>
      <c r="F1435" s="188"/>
      <c r="G1435" s="188"/>
      <c r="H1435" s="188"/>
      <c r="I1435" s="202"/>
      <c r="J1435" s="203"/>
      <c r="K1435" s="191">
        <f>SUM(K1432:K1434)</f>
        <v>3500</v>
      </c>
      <c r="L1435" s="192"/>
      <c r="M1435" s="193"/>
    </row>
    <row r="1436" spans="1:13" ht="22.5" customHeight="1" x14ac:dyDescent="0.2">
      <c r="A1436" s="163">
        <v>355</v>
      </c>
      <c r="B1436" s="164" t="s">
        <v>1936</v>
      </c>
      <c r="C1436" s="165"/>
      <c r="D1436" s="166" t="s">
        <v>107</v>
      </c>
      <c r="E1436" s="166"/>
      <c r="F1436" s="166"/>
      <c r="G1436" s="166"/>
      <c r="H1436" s="166" t="s">
        <v>164</v>
      </c>
      <c r="I1436" s="276" t="s">
        <v>1937</v>
      </c>
      <c r="J1436" s="249" t="s">
        <v>1008</v>
      </c>
      <c r="K1436" s="206">
        <f>4100*80%</f>
        <v>3280</v>
      </c>
      <c r="L1436" s="170" t="s">
        <v>111</v>
      </c>
      <c r="M1436" s="171" t="s">
        <v>1938</v>
      </c>
    </row>
    <row r="1437" spans="1:13" x14ac:dyDescent="0.2">
      <c r="A1437" s="173"/>
      <c r="B1437" s="174"/>
      <c r="C1437" s="175"/>
      <c r="D1437" s="176"/>
      <c r="E1437" s="176"/>
      <c r="F1437" s="176"/>
      <c r="G1437" s="176"/>
      <c r="H1437" s="176"/>
      <c r="I1437" s="184" t="s">
        <v>1939</v>
      </c>
      <c r="J1437" s="207" t="s">
        <v>1020</v>
      </c>
      <c r="K1437" s="208">
        <f>4100*20%</f>
        <v>820</v>
      </c>
      <c r="L1437" s="180"/>
      <c r="M1437" s="181"/>
    </row>
    <row r="1438" spans="1:13" x14ac:dyDescent="0.2">
      <c r="A1438" s="185"/>
      <c r="B1438" s="186"/>
      <c r="C1438" s="187"/>
      <c r="D1438" s="188"/>
      <c r="E1438" s="188"/>
      <c r="F1438" s="188"/>
      <c r="G1438" s="188"/>
      <c r="H1438" s="188"/>
      <c r="I1438" s="202"/>
      <c r="J1438" s="203"/>
      <c r="K1438" s="191">
        <f>SUM(K1436:K1437)</f>
        <v>4100</v>
      </c>
      <c r="L1438" s="192"/>
      <c r="M1438" s="193"/>
    </row>
    <row r="1439" spans="1:13" ht="21" customHeight="1" x14ac:dyDescent="0.2">
      <c r="A1439" s="163">
        <v>356</v>
      </c>
      <c r="B1439" s="164" t="s">
        <v>1940</v>
      </c>
      <c r="C1439" s="165"/>
      <c r="D1439" s="166" t="s">
        <v>107</v>
      </c>
      <c r="E1439" s="166"/>
      <c r="F1439" s="166"/>
      <c r="G1439" s="166"/>
      <c r="H1439" s="166" t="s">
        <v>108</v>
      </c>
      <c r="I1439" s="276" t="s">
        <v>1941</v>
      </c>
      <c r="J1439" s="249" t="s">
        <v>1008</v>
      </c>
      <c r="K1439" s="206">
        <f>4000*10%</f>
        <v>400</v>
      </c>
      <c r="L1439" s="170" t="s">
        <v>111</v>
      </c>
      <c r="M1439" s="171" t="s">
        <v>1942</v>
      </c>
    </row>
    <row r="1440" spans="1:13" x14ac:dyDescent="0.2">
      <c r="A1440" s="173"/>
      <c r="B1440" s="174"/>
      <c r="C1440" s="175"/>
      <c r="D1440" s="176"/>
      <c r="E1440" s="176"/>
      <c r="F1440" s="176"/>
      <c r="G1440" s="176"/>
      <c r="H1440" s="176"/>
      <c r="I1440" s="184" t="s">
        <v>1943</v>
      </c>
      <c r="J1440" s="207" t="s">
        <v>1020</v>
      </c>
      <c r="K1440" s="208">
        <f>4000*70%</f>
        <v>2800</v>
      </c>
      <c r="L1440" s="180"/>
      <c r="M1440" s="181"/>
    </row>
    <row r="1441" spans="1:13" x14ac:dyDescent="0.2">
      <c r="A1441" s="173"/>
      <c r="B1441" s="174"/>
      <c r="C1441" s="175"/>
      <c r="D1441" s="176"/>
      <c r="E1441" s="176"/>
      <c r="F1441" s="176"/>
      <c r="G1441" s="176"/>
      <c r="H1441" s="176"/>
      <c r="I1441" s="184" t="s">
        <v>1915</v>
      </c>
      <c r="J1441" s="207" t="s">
        <v>1020</v>
      </c>
      <c r="K1441" s="208">
        <f>4000*10%</f>
        <v>400</v>
      </c>
      <c r="L1441" s="180"/>
      <c r="M1441" s="181"/>
    </row>
    <row r="1442" spans="1:13" x14ac:dyDescent="0.2">
      <c r="A1442" s="173"/>
      <c r="B1442" s="174"/>
      <c r="C1442" s="175"/>
      <c r="D1442" s="176"/>
      <c r="E1442" s="176"/>
      <c r="F1442" s="176"/>
      <c r="G1442" s="176"/>
      <c r="H1442" s="176"/>
      <c r="I1442" s="184" t="s">
        <v>1916</v>
      </c>
      <c r="J1442" s="207" t="s">
        <v>1020</v>
      </c>
      <c r="K1442" s="208">
        <f>4000*10%</f>
        <v>400</v>
      </c>
      <c r="L1442" s="180"/>
      <c r="M1442" s="181"/>
    </row>
    <row r="1443" spans="1:13" x14ac:dyDescent="0.2">
      <c r="A1443" s="185"/>
      <c r="B1443" s="186"/>
      <c r="C1443" s="187"/>
      <c r="D1443" s="188"/>
      <c r="E1443" s="188"/>
      <c r="F1443" s="188"/>
      <c r="G1443" s="188"/>
      <c r="H1443" s="188"/>
      <c r="I1443" s="202"/>
      <c r="J1443" s="203"/>
      <c r="K1443" s="191">
        <f>SUM(K1439:K1442)</f>
        <v>4000</v>
      </c>
      <c r="L1443" s="192"/>
      <c r="M1443" s="193"/>
    </row>
    <row r="1444" spans="1:13" ht="20.25" customHeight="1" x14ac:dyDescent="0.2">
      <c r="A1444" s="163">
        <v>357</v>
      </c>
      <c r="B1444" s="164" t="s">
        <v>1944</v>
      </c>
      <c r="C1444" s="165"/>
      <c r="D1444" s="166" t="s">
        <v>107</v>
      </c>
      <c r="E1444" s="166"/>
      <c r="F1444" s="166"/>
      <c r="G1444" s="166"/>
      <c r="H1444" s="166"/>
      <c r="I1444" s="276" t="s">
        <v>1945</v>
      </c>
      <c r="J1444" s="249" t="s">
        <v>1008</v>
      </c>
      <c r="K1444" s="206">
        <f>4000*85%</f>
        <v>3400</v>
      </c>
      <c r="L1444" s="170" t="s">
        <v>111</v>
      </c>
      <c r="M1444" s="171" t="s">
        <v>1946</v>
      </c>
    </row>
    <row r="1445" spans="1:13" ht="20.25" customHeight="1" x14ac:dyDescent="0.2">
      <c r="A1445" s="173"/>
      <c r="B1445" s="174"/>
      <c r="C1445" s="175"/>
      <c r="D1445" s="176"/>
      <c r="E1445" s="176"/>
      <c r="F1445" s="176"/>
      <c r="G1445" s="176"/>
      <c r="H1445" s="176"/>
      <c r="I1445" s="184" t="s">
        <v>1947</v>
      </c>
      <c r="J1445" s="207" t="s">
        <v>1020</v>
      </c>
      <c r="K1445" s="208">
        <f>4000*5%</f>
        <v>200</v>
      </c>
      <c r="L1445" s="180"/>
      <c r="M1445" s="181"/>
    </row>
    <row r="1446" spans="1:13" ht="20.25" customHeight="1" x14ac:dyDescent="0.2">
      <c r="A1446" s="173"/>
      <c r="B1446" s="174"/>
      <c r="C1446" s="175"/>
      <c r="D1446" s="176"/>
      <c r="E1446" s="176"/>
      <c r="F1446" s="176"/>
      <c r="G1446" s="176"/>
      <c r="H1446" s="176"/>
      <c r="I1446" s="184" t="s">
        <v>1948</v>
      </c>
      <c r="J1446" s="207" t="s">
        <v>1020</v>
      </c>
      <c r="K1446" s="208">
        <f>4000*5%</f>
        <v>200</v>
      </c>
      <c r="L1446" s="180"/>
      <c r="M1446" s="181"/>
    </row>
    <row r="1447" spans="1:13" ht="20.25" customHeight="1" x14ac:dyDescent="0.2">
      <c r="A1447" s="173"/>
      <c r="B1447" s="174"/>
      <c r="C1447" s="175"/>
      <c r="D1447" s="176"/>
      <c r="E1447" s="176"/>
      <c r="F1447" s="176"/>
      <c r="G1447" s="176"/>
      <c r="H1447" s="176"/>
      <c r="I1447" s="184" t="s">
        <v>1949</v>
      </c>
      <c r="J1447" s="207" t="s">
        <v>1950</v>
      </c>
      <c r="K1447" s="208">
        <f>4000*5%</f>
        <v>200</v>
      </c>
      <c r="L1447" s="180"/>
      <c r="M1447" s="181"/>
    </row>
    <row r="1448" spans="1:13" ht="20.25" customHeight="1" x14ac:dyDescent="0.2">
      <c r="A1448" s="185"/>
      <c r="B1448" s="186"/>
      <c r="C1448" s="187"/>
      <c r="D1448" s="188"/>
      <c r="E1448" s="188"/>
      <c r="F1448" s="188"/>
      <c r="G1448" s="188"/>
      <c r="H1448" s="188"/>
      <c r="I1448" s="202"/>
      <c r="J1448" s="203"/>
      <c r="K1448" s="191">
        <f>SUM(K1444:K1447)</f>
        <v>4000</v>
      </c>
      <c r="L1448" s="192"/>
      <c r="M1448" s="193"/>
    </row>
    <row r="1449" spans="1:13" ht="20.25" customHeight="1" x14ac:dyDescent="0.2">
      <c r="A1449" s="163">
        <v>358</v>
      </c>
      <c r="B1449" s="164" t="s">
        <v>1951</v>
      </c>
      <c r="C1449" s="165"/>
      <c r="D1449" s="166" t="s">
        <v>107</v>
      </c>
      <c r="E1449" s="166"/>
      <c r="F1449" s="166"/>
      <c r="G1449" s="166"/>
      <c r="H1449" s="166"/>
      <c r="I1449" s="276" t="s">
        <v>1952</v>
      </c>
      <c r="J1449" s="249" t="s">
        <v>1008</v>
      </c>
      <c r="K1449" s="206">
        <f>3700*60%</f>
        <v>2220</v>
      </c>
      <c r="L1449" s="170" t="s">
        <v>111</v>
      </c>
      <c r="M1449" s="171" t="s">
        <v>1953</v>
      </c>
    </row>
    <row r="1450" spans="1:13" x14ac:dyDescent="0.2">
      <c r="A1450" s="173"/>
      <c r="B1450" s="174"/>
      <c r="C1450" s="175"/>
      <c r="D1450" s="176"/>
      <c r="E1450" s="176"/>
      <c r="F1450" s="176"/>
      <c r="G1450" s="176"/>
      <c r="H1450" s="176"/>
      <c r="I1450" s="184" t="s">
        <v>1954</v>
      </c>
      <c r="J1450" s="207" t="s">
        <v>1020</v>
      </c>
      <c r="K1450" s="208">
        <f>3700*10%</f>
        <v>370</v>
      </c>
      <c r="L1450" s="180"/>
      <c r="M1450" s="181"/>
    </row>
    <row r="1451" spans="1:13" x14ac:dyDescent="0.2">
      <c r="A1451" s="173"/>
      <c r="B1451" s="174"/>
      <c r="C1451" s="175"/>
      <c r="D1451" s="176"/>
      <c r="E1451" s="176"/>
      <c r="F1451" s="176"/>
      <c r="G1451" s="176"/>
      <c r="H1451" s="176"/>
      <c r="I1451" s="184" t="s">
        <v>1955</v>
      </c>
      <c r="J1451" s="207" t="s">
        <v>1020</v>
      </c>
      <c r="K1451" s="208">
        <f>3700*10%</f>
        <v>370</v>
      </c>
      <c r="L1451" s="180"/>
      <c r="M1451" s="181"/>
    </row>
    <row r="1452" spans="1:13" x14ac:dyDescent="0.2">
      <c r="A1452" s="173"/>
      <c r="B1452" s="174"/>
      <c r="C1452" s="175"/>
      <c r="D1452" s="176"/>
      <c r="E1452" s="176"/>
      <c r="F1452" s="176"/>
      <c r="G1452" s="176"/>
      <c r="H1452" s="176"/>
      <c r="I1452" s="184" t="s">
        <v>1916</v>
      </c>
      <c r="J1452" s="207" t="s">
        <v>1020</v>
      </c>
      <c r="K1452" s="208">
        <f>3700*10%</f>
        <v>370</v>
      </c>
      <c r="L1452" s="180"/>
      <c r="M1452" s="181"/>
    </row>
    <row r="1453" spans="1:13" x14ac:dyDescent="0.2">
      <c r="A1453" s="173"/>
      <c r="B1453" s="174"/>
      <c r="C1453" s="175"/>
      <c r="D1453" s="176"/>
      <c r="E1453" s="176"/>
      <c r="F1453" s="176"/>
      <c r="G1453" s="176"/>
      <c r="H1453" s="176"/>
      <c r="I1453" s="184" t="s">
        <v>1956</v>
      </c>
      <c r="J1453" s="207" t="s">
        <v>1020</v>
      </c>
      <c r="K1453" s="208">
        <f>3700*10%</f>
        <v>370</v>
      </c>
      <c r="L1453" s="180"/>
      <c r="M1453" s="181"/>
    </row>
    <row r="1454" spans="1:13" x14ac:dyDescent="0.2">
      <c r="A1454" s="185"/>
      <c r="B1454" s="186"/>
      <c r="C1454" s="187"/>
      <c r="D1454" s="188"/>
      <c r="E1454" s="188"/>
      <c r="F1454" s="188"/>
      <c r="G1454" s="188"/>
      <c r="H1454" s="188"/>
      <c r="I1454" s="202"/>
      <c r="J1454" s="203"/>
      <c r="K1454" s="191">
        <f>SUM(K1449:K1453)</f>
        <v>3700</v>
      </c>
      <c r="L1454" s="192"/>
      <c r="M1454" s="193"/>
    </row>
    <row r="1455" spans="1:13" ht="25.5" customHeight="1" x14ac:dyDescent="0.2">
      <c r="A1455" s="163">
        <v>359</v>
      </c>
      <c r="B1455" s="164" t="s">
        <v>1957</v>
      </c>
      <c r="C1455" s="165"/>
      <c r="D1455" s="166" t="s">
        <v>107</v>
      </c>
      <c r="E1455" s="166"/>
      <c r="F1455" s="166"/>
      <c r="G1455" s="166"/>
      <c r="H1455" s="166"/>
      <c r="I1455" s="276" t="s">
        <v>1958</v>
      </c>
      <c r="J1455" s="249" t="s">
        <v>1008</v>
      </c>
      <c r="K1455" s="206">
        <f>3500*75%</f>
        <v>2625</v>
      </c>
      <c r="L1455" s="170" t="s">
        <v>111</v>
      </c>
      <c r="M1455" s="171" t="s">
        <v>1959</v>
      </c>
    </row>
    <row r="1456" spans="1:13" x14ac:dyDescent="0.2">
      <c r="A1456" s="173"/>
      <c r="B1456" s="174"/>
      <c r="C1456" s="175"/>
      <c r="D1456" s="176"/>
      <c r="E1456" s="176"/>
      <c r="F1456" s="176"/>
      <c r="G1456" s="176"/>
      <c r="H1456" s="176"/>
      <c r="I1456" s="184" t="s">
        <v>1960</v>
      </c>
      <c r="J1456" s="207" t="s">
        <v>1020</v>
      </c>
      <c r="K1456" s="208">
        <f>3500*5%</f>
        <v>175</v>
      </c>
      <c r="L1456" s="180"/>
      <c r="M1456" s="181"/>
    </row>
    <row r="1457" spans="1:13" x14ac:dyDescent="0.2">
      <c r="A1457" s="173"/>
      <c r="B1457" s="174"/>
      <c r="C1457" s="175"/>
      <c r="D1457" s="176"/>
      <c r="E1457" s="176"/>
      <c r="F1457" s="176"/>
      <c r="G1457" s="176"/>
      <c r="H1457" s="176"/>
      <c r="I1457" s="184" t="s">
        <v>1961</v>
      </c>
      <c r="J1457" s="207" t="s">
        <v>1020</v>
      </c>
      <c r="K1457" s="208">
        <f>3500*5%</f>
        <v>175</v>
      </c>
      <c r="L1457" s="180"/>
      <c r="M1457" s="181"/>
    </row>
    <row r="1458" spans="1:13" x14ac:dyDescent="0.2">
      <c r="A1458" s="173"/>
      <c r="B1458" s="174"/>
      <c r="C1458" s="175"/>
      <c r="D1458" s="176"/>
      <c r="E1458" s="176"/>
      <c r="F1458" s="176"/>
      <c r="G1458" s="176"/>
      <c r="H1458" s="176"/>
      <c r="I1458" s="184" t="s">
        <v>1962</v>
      </c>
      <c r="J1458" s="207" t="s">
        <v>1020</v>
      </c>
      <c r="K1458" s="208">
        <f>3500*5%</f>
        <v>175</v>
      </c>
      <c r="L1458" s="180"/>
      <c r="M1458" s="181"/>
    </row>
    <row r="1459" spans="1:13" x14ac:dyDescent="0.2">
      <c r="A1459" s="173"/>
      <c r="B1459" s="174"/>
      <c r="C1459" s="175"/>
      <c r="D1459" s="176"/>
      <c r="E1459" s="176"/>
      <c r="F1459" s="176"/>
      <c r="G1459" s="176"/>
      <c r="H1459" s="176"/>
      <c r="I1459" s="184" t="s">
        <v>1963</v>
      </c>
      <c r="J1459" s="207" t="s">
        <v>1020</v>
      </c>
      <c r="K1459" s="208">
        <f>3500*5%</f>
        <v>175</v>
      </c>
      <c r="L1459" s="180"/>
      <c r="M1459" s="181"/>
    </row>
    <row r="1460" spans="1:13" x14ac:dyDescent="0.2">
      <c r="A1460" s="173"/>
      <c r="B1460" s="174"/>
      <c r="C1460" s="175"/>
      <c r="D1460" s="176"/>
      <c r="E1460" s="176"/>
      <c r="F1460" s="176"/>
      <c r="G1460" s="176"/>
      <c r="H1460" s="176"/>
      <c r="I1460" s="184" t="s">
        <v>1964</v>
      </c>
      <c r="J1460" s="207" t="s">
        <v>1020</v>
      </c>
      <c r="K1460" s="208">
        <f>3500*5%</f>
        <v>175</v>
      </c>
      <c r="L1460" s="180"/>
      <c r="M1460" s="181"/>
    </row>
    <row r="1461" spans="1:13" x14ac:dyDescent="0.2">
      <c r="A1461" s="185"/>
      <c r="B1461" s="186"/>
      <c r="C1461" s="187"/>
      <c r="D1461" s="188"/>
      <c r="E1461" s="188"/>
      <c r="F1461" s="188"/>
      <c r="G1461" s="188"/>
      <c r="H1461" s="188"/>
      <c r="I1461" s="202"/>
      <c r="J1461" s="203"/>
      <c r="K1461" s="191">
        <f>SUM(K1455:K1460)</f>
        <v>3500</v>
      </c>
      <c r="L1461" s="192"/>
      <c r="M1461" s="193"/>
    </row>
    <row r="1462" spans="1:13" ht="22.5" customHeight="1" x14ac:dyDescent="0.2">
      <c r="A1462" s="163">
        <v>360</v>
      </c>
      <c r="B1462" s="164" t="s">
        <v>1965</v>
      </c>
      <c r="C1462" s="165"/>
      <c r="D1462" s="166" t="s">
        <v>107</v>
      </c>
      <c r="E1462" s="166"/>
      <c r="F1462" s="166"/>
      <c r="G1462" s="166"/>
      <c r="H1462" s="166" t="s">
        <v>108</v>
      </c>
      <c r="I1462" s="276" t="s">
        <v>1966</v>
      </c>
      <c r="J1462" s="249" t="s">
        <v>1008</v>
      </c>
      <c r="K1462" s="206">
        <f>3500*70%</f>
        <v>2450</v>
      </c>
      <c r="L1462" s="170" t="s">
        <v>111</v>
      </c>
      <c r="M1462" s="171" t="s">
        <v>1967</v>
      </c>
    </row>
    <row r="1463" spans="1:13" x14ac:dyDescent="0.2">
      <c r="A1463" s="173"/>
      <c r="B1463" s="174"/>
      <c r="C1463" s="175"/>
      <c r="D1463" s="176"/>
      <c r="E1463" s="176"/>
      <c r="F1463" s="176"/>
      <c r="G1463" s="176"/>
      <c r="H1463" s="176"/>
      <c r="I1463" s="184" t="s">
        <v>1968</v>
      </c>
      <c r="J1463" s="207" t="s">
        <v>1020</v>
      </c>
      <c r="K1463" s="208">
        <f>3500*20%</f>
        <v>700</v>
      </c>
      <c r="L1463" s="180"/>
      <c r="M1463" s="181"/>
    </row>
    <row r="1464" spans="1:13" x14ac:dyDescent="0.2">
      <c r="A1464" s="173"/>
      <c r="B1464" s="174"/>
      <c r="C1464" s="175"/>
      <c r="D1464" s="176"/>
      <c r="E1464" s="176"/>
      <c r="F1464" s="176"/>
      <c r="G1464" s="176"/>
      <c r="H1464" s="176"/>
      <c r="I1464" s="184" t="s">
        <v>1969</v>
      </c>
      <c r="J1464" s="207" t="s">
        <v>1020</v>
      </c>
      <c r="K1464" s="208">
        <f>3500*10%</f>
        <v>350</v>
      </c>
      <c r="L1464" s="180"/>
      <c r="M1464" s="181"/>
    </row>
    <row r="1465" spans="1:13" x14ac:dyDescent="0.2">
      <c r="A1465" s="185"/>
      <c r="B1465" s="186"/>
      <c r="C1465" s="187"/>
      <c r="D1465" s="188"/>
      <c r="E1465" s="188"/>
      <c r="F1465" s="188"/>
      <c r="G1465" s="188"/>
      <c r="H1465" s="188"/>
      <c r="I1465" s="202"/>
      <c r="J1465" s="203"/>
      <c r="K1465" s="191">
        <f>SUM(K1462:K1464)</f>
        <v>3500</v>
      </c>
      <c r="L1465" s="192"/>
      <c r="M1465" s="193"/>
    </row>
    <row r="1466" spans="1:13" ht="23.25" customHeight="1" x14ac:dyDescent="0.2">
      <c r="A1466" s="163">
        <v>361</v>
      </c>
      <c r="B1466" s="164" t="s">
        <v>1970</v>
      </c>
      <c r="C1466" s="165"/>
      <c r="D1466" s="166" t="s">
        <v>107</v>
      </c>
      <c r="E1466" s="166"/>
      <c r="F1466" s="166"/>
      <c r="G1466" s="166"/>
      <c r="H1466" s="166"/>
      <c r="I1466" s="276" t="s">
        <v>1971</v>
      </c>
      <c r="J1466" s="249" t="s">
        <v>1008</v>
      </c>
      <c r="K1466" s="206">
        <f>3500*50%</f>
        <v>1750</v>
      </c>
      <c r="L1466" s="170" t="s">
        <v>111</v>
      </c>
      <c r="M1466" s="171" t="s">
        <v>1972</v>
      </c>
    </row>
    <row r="1467" spans="1:13" x14ac:dyDescent="0.2">
      <c r="A1467" s="173"/>
      <c r="B1467" s="174"/>
      <c r="C1467" s="175"/>
      <c r="D1467" s="176"/>
      <c r="E1467" s="176"/>
      <c r="F1467" s="176"/>
      <c r="G1467" s="176"/>
      <c r="H1467" s="176"/>
      <c r="I1467" s="184" t="s">
        <v>1973</v>
      </c>
      <c r="J1467" s="207" t="s">
        <v>1020</v>
      </c>
      <c r="K1467" s="208">
        <f>3500*10%</f>
        <v>350</v>
      </c>
      <c r="L1467" s="180"/>
      <c r="M1467" s="181"/>
    </row>
    <row r="1468" spans="1:13" x14ac:dyDescent="0.2">
      <c r="A1468" s="173"/>
      <c r="B1468" s="174"/>
      <c r="C1468" s="175"/>
      <c r="D1468" s="176"/>
      <c r="E1468" s="176"/>
      <c r="F1468" s="176"/>
      <c r="G1468" s="176"/>
      <c r="H1468" s="176"/>
      <c r="I1468" s="184" t="s">
        <v>1974</v>
      </c>
      <c r="J1468" s="207" t="s">
        <v>1020</v>
      </c>
      <c r="K1468" s="208">
        <f>3500*10%</f>
        <v>350</v>
      </c>
      <c r="L1468" s="180"/>
      <c r="M1468" s="181"/>
    </row>
    <row r="1469" spans="1:13" x14ac:dyDescent="0.2">
      <c r="A1469" s="173"/>
      <c r="B1469" s="174"/>
      <c r="C1469" s="175"/>
      <c r="D1469" s="176"/>
      <c r="E1469" s="176"/>
      <c r="F1469" s="176"/>
      <c r="G1469" s="176"/>
      <c r="H1469" s="176"/>
      <c r="I1469" s="184" t="s">
        <v>1975</v>
      </c>
      <c r="J1469" s="207" t="s">
        <v>1020</v>
      </c>
      <c r="K1469" s="208">
        <f>3500*10%</f>
        <v>350</v>
      </c>
      <c r="L1469" s="180"/>
      <c r="M1469" s="181"/>
    </row>
    <row r="1470" spans="1:13" x14ac:dyDescent="0.2">
      <c r="A1470" s="173"/>
      <c r="B1470" s="174"/>
      <c r="C1470" s="175"/>
      <c r="D1470" s="176"/>
      <c r="E1470" s="176"/>
      <c r="F1470" s="176"/>
      <c r="G1470" s="176"/>
      <c r="H1470" s="176"/>
      <c r="I1470" s="184" t="s">
        <v>1955</v>
      </c>
      <c r="J1470" s="207" t="s">
        <v>1020</v>
      </c>
      <c r="K1470" s="208">
        <f>3500*10%</f>
        <v>350</v>
      </c>
      <c r="L1470" s="180"/>
      <c r="M1470" s="181"/>
    </row>
    <row r="1471" spans="1:13" x14ac:dyDescent="0.2">
      <c r="A1471" s="173"/>
      <c r="B1471" s="174"/>
      <c r="C1471" s="175"/>
      <c r="D1471" s="176"/>
      <c r="E1471" s="176"/>
      <c r="F1471" s="176"/>
      <c r="G1471" s="176"/>
      <c r="H1471" s="176"/>
      <c r="I1471" s="184" t="s">
        <v>1976</v>
      </c>
      <c r="J1471" s="207" t="s">
        <v>1020</v>
      </c>
      <c r="K1471" s="208">
        <f>3500*10%</f>
        <v>350</v>
      </c>
      <c r="L1471" s="180"/>
      <c r="M1471" s="181"/>
    </row>
    <row r="1472" spans="1:13" x14ac:dyDescent="0.2">
      <c r="A1472" s="185"/>
      <c r="B1472" s="186"/>
      <c r="C1472" s="187"/>
      <c r="D1472" s="188"/>
      <c r="E1472" s="188"/>
      <c r="F1472" s="188"/>
      <c r="G1472" s="188"/>
      <c r="H1472" s="188"/>
      <c r="I1472" s="202"/>
      <c r="J1472" s="203"/>
      <c r="K1472" s="191">
        <f>SUM(K1466:K1471)</f>
        <v>3500</v>
      </c>
      <c r="L1472" s="192"/>
      <c r="M1472" s="193"/>
    </row>
    <row r="1473" spans="1:13" ht="25.5" customHeight="1" x14ac:dyDescent="0.2">
      <c r="A1473" s="163">
        <v>362</v>
      </c>
      <c r="B1473" s="164" t="s">
        <v>1977</v>
      </c>
      <c r="C1473" s="165"/>
      <c r="D1473" s="166" t="s">
        <v>107</v>
      </c>
      <c r="E1473" s="166"/>
      <c r="F1473" s="166"/>
      <c r="G1473" s="166"/>
      <c r="H1473" s="166" t="s">
        <v>137</v>
      </c>
      <c r="I1473" s="276" t="s">
        <v>1978</v>
      </c>
      <c r="J1473" s="249" t="s">
        <v>1008</v>
      </c>
      <c r="K1473" s="212">
        <f>4000*80%</f>
        <v>3200</v>
      </c>
      <c r="L1473" s="170" t="s">
        <v>111</v>
      </c>
      <c r="M1473" s="171" t="s">
        <v>1979</v>
      </c>
    </row>
    <row r="1474" spans="1:13" x14ac:dyDescent="0.2">
      <c r="A1474" s="173"/>
      <c r="B1474" s="174"/>
      <c r="C1474" s="175"/>
      <c r="D1474" s="176"/>
      <c r="E1474" s="176"/>
      <c r="F1474" s="176"/>
      <c r="G1474" s="176"/>
      <c r="H1474" s="176"/>
      <c r="I1474" s="184" t="s">
        <v>1980</v>
      </c>
      <c r="J1474" s="207" t="s">
        <v>1020</v>
      </c>
      <c r="K1474" s="230">
        <f>4000*10%</f>
        <v>400</v>
      </c>
      <c r="L1474" s="180"/>
      <c r="M1474" s="181"/>
    </row>
    <row r="1475" spans="1:13" x14ac:dyDescent="0.2">
      <c r="A1475" s="173"/>
      <c r="B1475" s="174"/>
      <c r="C1475" s="175"/>
      <c r="D1475" s="176"/>
      <c r="E1475" s="176"/>
      <c r="F1475" s="176"/>
      <c r="G1475" s="176"/>
      <c r="H1475" s="176"/>
      <c r="I1475" s="184" t="s">
        <v>1981</v>
      </c>
      <c r="J1475" s="207" t="s">
        <v>1020</v>
      </c>
      <c r="K1475" s="230">
        <f>4000*10%</f>
        <v>400</v>
      </c>
      <c r="L1475" s="180"/>
      <c r="M1475" s="181"/>
    </row>
    <row r="1476" spans="1:13" x14ac:dyDescent="0.2">
      <c r="A1476" s="185"/>
      <c r="B1476" s="186"/>
      <c r="C1476" s="187"/>
      <c r="D1476" s="188"/>
      <c r="E1476" s="188"/>
      <c r="F1476" s="188"/>
      <c r="G1476" s="188"/>
      <c r="H1476" s="188"/>
      <c r="I1476" s="202"/>
      <c r="J1476" s="203"/>
      <c r="K1476" s="216">
        <f>SUM(K1473:K1475)</f>
        <v>4000</v>
      </c>
      <c r="L1476" s="192"/>
      <c r="M1476" s="193"/>
    </row>
    <row r="1477" spans="1:13" ht="23.25" customHeight="1" x14ac:dyDescent="0.2">
      <c r="A1477" s="163">
        <v>363</v>
      </c>
      <c r="B1477" s="164" t="s">
        <v>1982</v>
      </c>
      <c r="C1477" s="165"/>
      <c r="D1477" s="166" t="s">
        <v>107</v>
      </c>
      <c r="E1477" s="166"/>
      <c r="F1477" s="166"/>
      <c r="G1477" s="166"/>
      <c r="H1477" s="166"/>
      <c r="I1477" s="276" t="s">
        <v>1983</v>
      </c>
      <c r="J1477" s="249" t="s">
        <v>1008</v>
      </c>
      <c r="K1477" s="206">
        <f>3500*70%</f>
        <v>2450</v>
      </c>
      <c r="L1477" s="170" t="s">
        <v>111</v>
      </c>
      <c r="M1477" s="171" t="s">
        <v>1984</v>
      </c>
    </row>
    <row r="1478" spans="1:13" x14ac:dyDescent="0.2">
      <c r="A1478" s="173"/>
      <c r="B1478" s="174"/>
      <c r="C1478" s="175"/>
      <c r="D1478" s="176"/>
      <c r="E1478" s="176"/>
      <c r="F1478" s="176"/>
      <c r="G1478" s="176"/>
      <c r="H1478" s="176"/>
      <c r="I1478" s="184" t="s">
        <v>1985</v>
      </c>
      <c r="J1478" s="207" t="s">
        <v>1020</v>
      </c>
      <c r="K1478" s="208">
        <f>3500*30%</f>
        <v>1050</v>
      </c>
      <c r="L1478" s="180"/>
      <c r="M1478" s="181"/>
    </row>
    <row r="1479" spans="1:13" x14ac:dyDescent="0.2">
      <c r="A1479" s="185"/>
      <c r="B1479" s="186"/>
      <c r="C1479" s="187"/>
      <c r="D1479" s="188"/>
      <c r="E1479" s="188"/>
      <c r="F1479" s="188"/>
      <c r="G1479" s="188"/>
      <c r="H1479" s="188"/>
      <c r="I1479" s="202"/>
      <c r="J1479" s="203"/>
      <c r="K1479" s="191">
        <f>SUM(K1477:K1478)</f>
        <v>3500</v>
      </c>
      <c r="L1479" s="192"/>
      <c r="M1479" s="193"/>
    </row>
    <row r="1480" spans="1:13" ht="23.25" customHeight="1" x14ac:dyDescent="0.2">
      <c r="A1480" s="163">
        <v>364</v>
      </c>
      <c r="B1480" s="164" t="s">
        <v>1986</v>
      </c>
      <c r="C1480" s="165"/>
      <c r="D1480" s="166" t="s">
        <v>107</v>
      </c>
      <c r="E1480" s="166"/>
      <c r="F1480" s="166"/>
      <c r="G1480" s="166"/>
      <c r="H1480" s="166"/>
      <c r="I1480" s="276" t="s">
        <v>1987</v>
      </c>
      <c r="J1480" s="249" t="s">
        <v>1008</v>
      </c>
      <c r="K1480" s="206">
        <f>3500*100%</f>
        <v>3500</v>
      </c>
      <c r="L1480" s="170" t="s">
        <v>111</v>
      </c>
      <c r="M1480" s="171" t="s">
        <v>1988</v>
      </c>
    </row>
    <row r="1481" spans="1:13" x14ac:dyDescent="0.2">
      <c r="A1481" s="185"/>
      <c r="B1481" s="186"/>
      <c r="C1481" s="187"/>
      <c r="D1481" s="188"/>
      <c r="E1481" s="188"/>
      <c r="F1481" s="188"/>
      <c r="G1481" s="188"/>
      <c r="H1481" s="188"/>
      <c r="I1481" s="202"/>
      <c r="J1481" s="203"/>
      <c r="K1481" s="191">
        <f>SUM(K1480:K1480)</f>
        <v>3500</v>
      </c>
      <c r="L1481" s="192"/>
      <c r="M1481" s="193"/>
    </row>
    <row r="1482" spans="1:13" ht="24.75" customHeight="1" x14ac:dyDescent="0.2">
      <c r="A1482" s="163">
        <v>365</v>
      </c>
      <c r="B1482" s="164" t="s">
        <v>1989</v>
      </c>
      <c r="C1482" s="165"/>
      <c r="D1482" s="166" t="s">
        <v>107</v>
      </c>
      <c r="E1482" s="166"/>
      <c r="F1482" s="166"/>
      <c r="G1482" s="166"/>
      <c r="H1482" s="166"/>
      <c r="I1482" s="276" t="s">
        <v>1990</v>
      </c>
      <c r="J1482" s="249" t="s">
        <v>1008</v>
      </c>
      <c r="K1482" s="206">
        <f>3500*50%</f>
        <v>1750</v>
      </c>
      <c r="L1482" s="170" t="s">
        <v>111</v>
      </c>
      <c r="M1482" s="171" t="s">
        <v>1991</v>
      </c>
    </row>
    <row r="1483" spans="1:13" x14ac:dyDescent="0.2">
      <c r="A1483" s="173"/>
      <c r="B1483" s="174"/>
      <c r="C1483" s="175"/>
      <c r="D1483" s="176"/>
      <c r="E1483" s="176"/>
      <c r="F1483" s="176"/>
      <c r="G1483" s="176"/>
      <c r="H1483" s="176"/>
      <c r="I1483" s="184" t="s">
        <v>1992</v>
      </c>
      <c r="J1483" s="207" t="s">
        <v>1020</v>
      </c>
      <c r="K1483" s="208">
        <f>3500*20%</f>
        <v>700</v>
      </c>
      <c r="L1483" s="180"/>
      <c r="M1483" s="181"/>
    </row>
    <row r="1484" spans="1:13" x14ac:dyDescent="0.2">
      <c r="A1484" s="173"/>
      <c r="B1484" s="174"/>
      <c r="C1484" s="175"/>
      <c r="D1484" s="176"/>
      <c r="E1484" s="176"/>
      <c r="F1484" s="176"/>
      <c r="G1484" s="176"/>
      <c r="H1484" s="176"/>
      <c r="I1484" s="184" t="s">
        <v>1993</v>
      </c>
      <c r="J1484" s="207" t="s">
        <v>1020</v>
      </c>
      <c r="K1484" s="208">
        <f>3500*10%</f>
        <v>350</v>
      </c>
      <c r="L1484" s="180"/>
      <c r="M1484" s="181"/>
    </row>
    <row r="1485" spans="1:13" x14ac:dyDescent="0.2">
      <c r="A1485" s="173"/>
      <c r="B1485" s="174"/>
      <c r="C1485" s="175"/>
      <c r="D1485" s="176"/>
      <c r="E1485" s="176"/>
      <c r="F1485" s="176"/>
      <c r="G1485" s="176"/>
      <c r="H1485" s="176"/>
      <c r="I1485" s="184" t="s">
        <v>1926</v>
      </c>
      <c r="J1485" s="207" t="s">
        <v>1020</v>
      </c>
      <c r="K1485" s="208">
        <f>3500*10%</f>
        <v>350</v>
      </c>
      <c r="L1485" s="180"/>
      <c r="M1485" s="181"/>
    </row>
    <row r="1486" spans="1:13" x14ac:dyDescent="0.2">
      <c r="A1486" s="173"/>
      <c r="B1486" s="174"/>
      <c r="C1486" s="175"/>
      <c r="D1486" s="176"/>
      <c r="E1486" s="176"/>
      <c r="F1486" s="176"/>
      <c r="G1486" s="176"/>
      <c r="H1486" s="176"/>
      <c r="I1486" s="184" t="s">
        <v>1994</v>
      </c>
      <c r="J1486" s="207" t="s">
        <v>1020</v>
      </c>
      <c r="K1486" s="208">
        <f>3500*10%</f>
        <v>350</v>
      </c>
      <c r="L1486" s="180"/>
      <c r="M1486" s="181"/>
    </row>
    <row r="1487" spans="1:13" x14ac:dyDescent="0.2">
      <c r="A1487" s="185"/>
      <c r="B1487" s="186"/>
      <c r="C1487" s="187"/>
      <c r="D1487" s="188"/>
      <c r="E1487" s="188"/>
      <c r="F1487" s="188"/>
      <c r="G1487" s="188"/>
      <c r="H1487" s="188"/>
      <c r="I1487" s="202"/>
      <c r="J1487" s="203"/>
      <c r="K1487" s="191">
        <f>SUM(K1482:K1486)</f>
        <v>3500</v>
      </c>
      <c r="L1487" s="192"/>
      <c r="M1487" s="193"/>
    </row>
    <row r="1488" spans="1:13" ht="23.25" customHeight="1" x14ac:dyDescent="0.2">
      <c r="A1488" s="163">
        <v>366</v>
      </c>
      <c r="B1488" s="164" t="s">
        <v>1995</v>
      </c>
      <c r="C1488" s="165"/>
      <c r="D1488" s="166" t="s">
        <v>107</v>
      </c>
      <c r="E1488" s="166"/>
      <c r="F1488" s="166"/>
      <c r="G1488" s="166"/>
      <c r="H1488" s="166"/>
      <c r="I1488" s="276" t="s">
        <v>1996</v>
      </c>
      <c r="J1488" s="249" t="s">
        <v>1008</v>
      </c>
      <c r="K1488" s="206">
        <f>4100*70%</f>
        <v>2870</v>
      </c>
      <c r="L1488" s="170" t="s">
        <v>111</v>
      </c>
      <c r="M1488" s="171" t="s">
        <v>1997</v>
      </c>
    </row>
    <row r="1489" spans="1:13" x14ac:dyDescent="0.2">
      <c r="A1489" s="173"/>
      <c r="B1489" s="174"/>
      <c r="C1489" s="175"/>
      <c r="D1489" s="176"/>
      <c r="E1489" s="176"/>
      <c r="F1489" s="176"/>
      <c r="G1489" s="176"/>
      <c r="H1489" s="176"/>
      <c r="I1489" s="184" t="s">
        <v>1998</v>
      </c>
      <c r="J1489" s="207" t="s">
        <v>1020</v>
      </c>
      <c r="K1489" s="208">
        <f>4100*30%</f>
        <v>1230</v>
      </c>
      <c r="L1489" s="180"/>
      <c r="M1489" s="181"/>
    </row>
    <row r="1490" spans="1:13" x14ac:dyDescent="0.2">
      <c r="A1490" s="185"/>
      <c r="B1490" s="186"/>
      <c r="C1490" s="187"/>
      <c r="D1490" s="188"/>
      <c r="E1490" s="188"/>
      <c r="F1490" s="188"/>
      <c r="G1490" s="188"/>
      <c r="H1490" s="188"/>
      <c r="I1490" s="202"/>
      <c r="J1490" s="203"/>
      <c r="K1490" s="191">
        <f>SUM(K1488:K1489)</f>
        <v>4100</v>
      </c>
      <c r="L1490" s="192"/>
      <c r="M1490" s="193"/>
    </row>
    <row r="1491" spans="1:13" ht="22.5" customHeight="1" x14ac:dyDescent="0.2">
      <c r="A1491" s="163">
        <v>367</v>
      </c>
      <c r="B1491" s="164" t="s">
        <v>1999</v>
      </c>
      <c r="C1491" s="165"/>
      <c r="D1491" s="166" t="s">
        <v>107</v>
      </c>
      <c r="E1491" s="166"/>
      <c r="F1491" s="166"/>
      <c r="G1491" s="166"/>
      <c r="H1491" s="166"/>
      <c r="I1491" s="276" t="s">
        <v>2000</v>
      </c>
      <c r="J1491" s="249" t="s">
        <v>1008</v>
      </c>
      <c r="K1491" s="206">
        <f>3700*50%</f>
        <v>1850</v>
      </c>
      <c r="L1491" s="170" t="s">
        <v>111</v>
      </c>
      <c r="M1491" s="171" t="s">
        <v>2001</v>
      </c>
    </row>
    <row r="1492" spans="1:13" x14ac:dyDescent="0.2">
      <c r="A1492" s="173"/>
      <c r="B1492" s="174"/>
      <c r="C1492" s="175"/>
      <c r="D1492" s="176"/>
      <c r="E1492" s="176"/>
      <c r="F1492" s="176"/>
      <c r="G1492" s="176"/>
      <c r="H1492" s="176"/>
      <c r="I1492" s="184" t="s">
        <v>2002</v>
      </c>
      <c r="J1492" s="207" t="s">
        <v>1020</v>
      </c>
      <c r="K1492" s="208">
        <f>3700*10%</f>
        <v>370</v>
      </c>
      <c r="L1492" s="180"/>
      <c r="M1492" s="181"/>
    </row>
    <row r="1493" spans="1:13" x14ac:dyDescent="0.2">
      <c r="A1493" s="173"/>
      <c r="B1493" s="174"/>
      <c r="C1493" s="175"/>
      <c r="D1493" s="176"/>
      <c r="E1493" s="176"/>
      <c r="F1493" s="176"/>
      <c r="G1493" s="176"/>
      <c r="H1493" s="176"/>
      <c r="I1493" s="184" t="s">
        <v>2003</v>
      </c>
      <c r="J1493" s="207" t="s">
        <v>1020</v>
      </c>
      <c r="K1493" s="208">
        <f t="shared" ref="K1493:K1496" si="34">3700*10%</f>
        <v>370</v>
      </c>
      <c r="L1493" s="180"/>
      <c r="M1493" s="181"/>
    </row>
    <row r="1494" spans="1:13" x14ac:dyDescent="0.2">
      <c r="A1494" s="173"/>
      <c r="B1494" s="174"/>
      <c r="C1494" s="175"/>
      <c r="D1494" s="176"/>
      <c r="E1494" s="176"/>
      <c r="F1494" s="176"/>
      <c r="G1494" s="176"/>
      <c r="H1494" s="176"/>
      <c r="I1494" s="184" t="s">
        <v>2004</v>
      </c>
      <c r="J1494" s="207" t="s">
        <v>1020</v>
      </c>
      <c r="K1494" s="208">
        <f t="shared" si="34"/>
        <v>370</v>
      </c>
      <c r="L1494" s="180"/>
      <c r="M1494" s="181"/>
    </row>
    <row r="1495" spans="1:13" x14ac:dyDescent="0.2">
      <c r="A1495" s="173"/>
      <c r="B1495" s="174"/>
      <c r="C1495" s="175"/>
      <c r="D1495" s="176"/>
      <c r="E1495" s="176"/>
      <c r="F1495" s="176"/>
      <c r="G1495" s="176"/>
      <c r="H1495" s="176"/>
      <c r="I1495" s="184" t="s">
        <v>2005</v>
      </c>
      <c r="J1495" s="207" t="s">
        <v>1020</v>
      </c>
      <c r="K1495" s="208">
        <f t="shared" si="34"/>
        <v>370</v>
      </c>
      <c r="L1495" s="180"/>
      <c r="M1495" s="181"/>
    </row>
    <row r="1496" spans="1:13" x14ac:dyDescent="0.2">
      <c r="A1496" s="173"/>
      <c r="B1496" s="174"/>
      <c r="C1496" s="175"/>
      <c r="D1496" s="176"/>
      <c r="E1496" s="176"/>
      <c r="F1496" s="176"/>
      <c r="G1496" s="176"/>
      <c r="H1496" s="176"/>
      <c r="I1496" s="184" t="s">
        <v>2006</v>
      </c>
      <c r="J1496" s="207" t="s">
        <v>1020</v>
      </c>
      <c r="K1496" s="208">
        <f t="shared" si="34"/>
        <v>370</v>
      </c>
      <c r="L1496" s="180"/>
      <c r="M1496" s="181"/>
    </row>
    <row r="1497" spans="1:13" x14ac:dyDescent="0.2">
      <c r="A1497" s="185"/>
      <c r="B1497" s="186"/>
      <c r="C1497" s="187"/>
      <c r="D1497" s="188"/>
      <c r="E1497" s="188"/>
      <c r="F1497" s="188"/>
      <c r="G1497" s="188"/>
      <c r="H1497" s="188"/>
      <c r="I1497" s="202"/>
      <c r="J1497" s="203"/>
      <c r="K1497" s="191">
        <f>SUM(K1491:K1496)</f>
        <v>3700</v>
      </c>
      <c r="L1497" s="192"/>
      <c r="M1497" s="193"/>
    </row>
    <row r="1498" spans="1:13" ht="24.75" customHeight="1" x14ac:dyDescent="0.2">
      <c r="A1498" s="163">
        <v>368</v>
      </c>
      <c r="B1498" s="164" t="s">
        <v>2007</v>
      </c>
      <c r="C1498" s="165"/>
      <c r="D1498" s="166" t="s">
        <v>107</v>
      </c>
      <c r="E1498" s="166"/>
      <c r="F1498" s="166"/>
      <c r="G1498" s="166"/>
      <c r="H1498" s="166"/>
      <c r="I1498" s="276" t="s">
        <v>2008</v>
      </c>
      <c r="J1498" s="249" t="s">
        <v>1008</v>
      </c>
      <c r="K1498" s="206">
        <f>3500*50%</f>
        <v>1750</v>
      </c>
      <c r="L1498" s="170" t="s">
        <v>111</v>
      </c>
      <c r="M1498" s="171" t="s">
        <v>2009</v>
      </c>
    </row>
    <row r="1499" spans="1:13" ht="23.25" customHeight="1" x14ac:dyDescent="0.2">
      <c r="A1499" s="173"/>
      <c r="B1499" s="174"/>
      <c r="C1499" s="175"/>
      <c r="D1499" s="176"/>
      <c r="E1499" s="176"/>
      <c r="F1499" s="176"/>
      <c r="G1499" s="176"/>
      <c r="H1499" s="176"/>
      <c r="I1499" s="184" t="s">
        <v>2010</v>
      </c>
      <c r="J1499" s="207" t="s">
        <v>1008</v>
      </c>
      <c r="K1499" s="208">
        <f>3500*25%</f>
        <v>875</v>
      </c>
      <c r="L1499" s="180"/>
      <c r="M1499" s="181"/>
    </row>
    <row r="1500" spans="1:13" x14ac:dyDescent="0.2">
      <c r="A1500" s="173"/>
      <c r="B1500" s="174"/>
      <c r="C1500" s="175"/>
      <c r="D1500" s="176"/>
      <c r="E1500" s="176"/>
      <c r="F1500" s="176"/>
      <c r="G1500" s="176"/>
      <c r="H1500" s="176"/>
      <c r="I1500" s="184" t="s">
        <v>2011</v>
      </c>
      <c r="J1500" s="207" t="s">
        <v>1020</v>
      </c>
      <c r="K1500" s="208">
        <f>3500*25%</f>
        <v>875</v>
      </c>
      <c r="L1500" s="180"/>
      <c r="M1500" s="181"/>
    </row>
    <row r="1501" spans="1:13" x14ac:dyDescent="0.2">
      <c r="A1501" s="185"/>
      <c r="B1501" s="186"/>
      <c r="C1501" s="187"/>
      <c r="D1501" s="188"/>
      <c r="E1501" s="188"/>
      <c r="F1501" s="188"/>
      <c r="G1501" s="188"/>
      <c r="H1501" s="188"/>
      <c r="I1501" s="202"/>
      <c r="J1501" s="203"/>
      <c r="K1501" s="191">
        <f>SUM(K1498:K1500)</f>
        <v>3500</v>
      </c>
      <c r="L1501" s="192"/>
      <c r="M1501" s="193"/>
    </row>
    <row r="1502" spans="1:13" ht="21.75" customHeight="1" x14ac:dyDescent="0.2">
      <c r="A1502" s="163">
        <v>369</v>
      </c>
      <c r="B1502" s="164" t="s">
        <v>2012</v>
      </c>
      <c r="C1502" s="165"/>
      <c r="D1502" s="166" t="s">
        <v>107</v>
      </c>
      <c r="E1502" s="166"/>
      <c r="F1502" s="166"/>
      <c r="G1502" s="166"/>
      <c r="H1502" s="166"/>
      <c r="I1502" s="276" t="s">
        <v>2013</v>
      </c>
      <c r="J1502" s="249" t="s">
        <v>1008</v>
      </c>
      <c r="K1502" s="206">
        <f>4000*60%</f>
        <v>2400</v>
      </c>
      <c r="L1502" s="170" t="s">
        <v>111</v>
      </c>
      <c r="M1502" s="171" t="s">
        <v>2014</v>
      </c>
    </row>
    <row r="1503" spans="1:13" x14ac:dyDescent="0.2">
      <c r="A1503" s="173"/>
      <c r="B1503" s="174"/>
      <c r="C1503" s="175"/>
      <c r="D1503" s="176"/>
      <c r="E1503" s="176"/>
      <c r="F1503" s="176"/>
      <c r="G1503" s="176"/>
      <c r="H1503" s="176"/>
      <c r="I1503" s="184" t="s">
        <v>2015</v>
      </c>
      <c r="J1503" s="207" t="s">
        <v>1020</v>
      </c>
      <c r="K1503" s="208">
        <f t="shared" ref="K1503:K1510" si="35">4000*5%</f>
        <v>200</v>
      </c>
      <c r="L1503" s="180"/>
      <c r="M1503" s="181"/>
    </row>
    <row r="1504" spans="1:13" x14ac:dyDescent="0.2">
      <c r="A1504" s="173"/>
      <c r="B1504" s="174"/>
      <c r="C1504" s="175"/>
      <c r="D1504" s="176"/>
      <c r="E1504" s="176"/>
      <c r="F1504" s="176"/>
      <c r="G1504" s="176"/>
      <c r="H1504" s="176"/>
      <c r="I1504" s="184" t="s">
        <v>2016</v>
      </c>
      <c r="J1504" s="207" t="s">
        <v>1020</v>
      </c>
      <c r="K1504" s="208">
        <f t="shared" si="35"/>
        <v>200</v>
      </c>
      <c r="L1504" s="180"/>
      <c r="M1504" s="181"/>
    </row>
    <row r="1505" spans="1:13" x14ac:dyDescent="0.2">
      <c r="A1505" s="173"/>
      <c r="B1505" s="174"/>
      <c r="C1505" s="175"/>
      <c r="D1505" s="176"/>
      <c r="E1505" s="176"/>
      <c r="F1505" s="176"/>
      <c r="G1505" s="176"/>
      <c r="H1505" s="176"/>
      <c r="I1505" s="184" t="s">
        <v>2017</v>
      </c>
      <c r="J1505" s="207" t="s">
        <v>1020</v>
      </c>
      <c r="K1505" s="208">
        <f t="shared" si="35"/>
        <v>200</v>
      </c>
      <c r="L1505" s="180"/>
      <c r="M1505" s="181"/>
    </row>
    <row r="1506" spans="1:13" x14ac:dyDescent="0.2">
      <c r="A1506" s="173"/>
      <c r="B1506" s="174"/>
      <c r="C1506" s="175"/>
      <c r="D1506" s="176"/>
      <c r="E1506" s="176"/>
      <c r="F1506" s="176"/>
      <c r="G1506" s="176"/>
      <c r="H1506" s="176"/>
      <c r="I1506" s="184" t="s">
        <v>2018</v>
      </c>
      <c r="J1506" s="207" t="s">
        <v>1020</v>
      </c>
      <c r="K1506" s="208">
        <f t="shared" si="35"/>
        <v>200</v>
      </c>
      <c r="L1506" s="180"/>
      <c r="M1506" s="181"/>
    </row>
    <row r="1507" spans="1:13" x14ac:dyDescent="0.2">
      <c r="A1507" s="173"/>
      <c r="B1507" s="174"/>
      <c r="C1507" s="175"/>
      <c r="D1507" s="176"/>
      <c r="E1507" s="176"/>
      <c r="F1507" s="176"/>
      <c r="G1507" s="176"/>
      <c r="H1507" s="176"/>
      <c r="I1507" s="184" t="s">
        <v>2019</v>
      </c>
      <c r="J1507" s="207" t="s">
        <v>1020</v>
      </c>
      <c r="K1507" s="208">
        <f t="shared" si="35"/>
        <v>200</v>
      </c>
      <c r="L1507" s="180"/>
      <c r="M1507" s="181"/>
    </row>
    <row r="1508" spans="1:13" x14ac:dyDescent="0.2">
      <c r="A1508" s="173"/>
      <c r="B1508" s="174"/>
      <c r="C1508" s="175"/>
      <c r="D1508" s="176"/>
      <c r="E1508" s="176"/>
      <c r="F1508" s="176"/>
      <c r="G1508" s="176"/>
      <c r="H1508" s="176"/>
      <c r="I1508" s="184" t="s">
        <v>1705</v>
      </c>
      <c r="J1508" s="207" t="s">
        <v>683</v>
      </c>
      <c r="K1508" s="208">
        <f t="shared" si="35"/>
        <v>200</v>
      </c>
      <c r="L1508" s="180"/>
      <c r="M1508" s="181"/>
    </row>
    <row r="1509" spans="1:13" x14ac:dyDescent="0.2">
      <c r="A1509" s="173"/>
      <c r="B1509" s="174"/>
      <c r="C1509" s="175"/>
      <c r="D1509" s="176"/>
      <c r="E1509" s="176"/>
      <c r="F1509" s="176"/>
      <c r="G1509" s="176"/>
      <c r="H1509" s="176"/>
      <c r="I1509" s="184" t="s">
        <v>2020</v>
      </c>
      <c r="J1509" s="207" t="s">
        <v>683</v>
      </c>
      <c r="K1509" s="208">
        <f t="shared" si="35"/>
        <v>200</v>
      </c>
      <c r="L1509" s="180"/>
      <c r="M1509" s="181"/>
    </row>
    <row r="1510" spans="1:13" x14ac:dyDescent="0.2">
      <c r="A1510" s="173"/>
      <c r="B1510" s="174"/>
      <c r="C1510" s="175"/>
      <c r="D1510" s="176"/>
      <c r="E1510" s="176"/>
      <c r="F1510" s="176"/>
      <c r="G1510" s="176"/>
      <c r="H1510" s="176"/>
      <c r="I1510" s="184" t="s">
        <v>2021</v>
      </c>
      <c r="J1510" s="207" t="s">
        <v>683</v>
      </c>
      <c r="K1510" s="208">
        <f t="shared" si="35"/>
        <v>200</v>
      </c>
      <c r="L1510" s="180"/>
      <c r="M1510" s="181"/>
    </row>
    <row r="1511" spans="1:13" x14ac:dyDescent="0.2">
      <c r="A1511" s="185"/>
      <c r="B1511" s="186"/>
      <c r="C1511" s="187"/>
      <c r="D1511" s="188"/>
      <c r="E1511" s="188"/>
      <c r="F1511" s="188"/>
      <c r="G1511" s="188"/>
      <c r="H1511" s="188"/>
      <c r="I1511" s="202"/>
      <c r="J1511" s="203"/>
      <c r="K1511" s="191">
        <f>SUM(K1502:K1510)</f>
        <v>4000</v>
      </c>
      <c r="L1511" s="192"/>
      <c r="M1511" s="193"/>
    </row>
    <row r="1512" spans="1:13" ht="21.75" customHeight="1" x14ac:dyDescent="0.2">
      <c r="A1512" s="163">
        <v>370</v>
      </c>
      <c r="B1512" s="164" t="s">
        <v>2022</v>
      </c>
      <c r="C1512" s="165"/>
      <c r="D1512" s="166" t="s">
        <v>107</v>
      </c>
      <c r="E1512" s="166"/>
      <c r="F1512" s="166"/>
      <c r="G1512" s="166"/>
      <c r="H1512" s="166"/>
      <c r="I1512" s="276" t="s">
        <v>2013</v>
      </c>
      <c r="J1512" s="249" t="s">
        <v>2023</v>
      </c>
      <c r="K1512" s="206">
        <f>3500*60%</f>
        <v>2100</v>
      </c>
      <c r="L1512" s="170" t="s">
        <v>111</v>
      </c>
      <c r="M1512" s="171" t="s">
        <v>2024</v>
      </c>
    </row>
    <row r="1513" spans="1:13" x14ac:dyDescent="0.2">
      <c r="A1513" s="173"/>
      <c r="B1513" s="174"/>
      <c r="C1513" s="175"/>
      <c r="D1513" s="176"/>
      <c r="E1513" s="176"/>
      <c r="F1513" s="176"/>
      <c r="G1513" s="176"/>
      <c r="H1513" s="176"/>
      <c r="I1513" s="184" t="s">
        <v>1960</v>
      </c>
      <c r="J1513" s="207" t="s">
        <v>919</v>
      </c>
      <c r="K1513" s="208">
        <f t="shared" ref="K1513:K1519" si="36">3500*5%</f>
        <v>175</v>
      </c>
      <c r="L1513" s="180"/>
      <c r="M1513" s="181"/>
    </row>
    <row r="1514" spans="1:13" x14ac:dyDescent="0.2">
      <c r="A1514" s="173"/>
      <c r="B1514" s="174"/>
      <c r="C1514" s="175"/>
      <c r="D1514" s="176"/>
      <c r="E1514" s="176"/>
      <c r="F1514" s="176"/>
      <c r="G1514" s="176"/>
      <c r="H1514" s="176"/>
      <c r="I1514" s="184" t="s">
        <v>2025</v>
      </c>
      <c r="J1514" s="207" t="s">
        <v>919</v>
      </c>
      <c r="K1514" s="208">
        <f t="shared" si="36"/>
        <v>175</v>
      </c>
      <c r="L1514" s="180"/>
      <c r="M1514" s="181"/>
    </row>
    <row r="1515" spans="1:13" x14ac:dyDescent="0.2">
      <c r="A1515" s="173"/>
      <c r="B1515" s="174"/>
      <c r="C1515" s="175"/>
      <c r="D1515" s="176"/>
      <c r="E1515" s="176"/>
      <c r="F1515" s="176"/>
      <c r="G1515" s="176"/>
      <c r="H1515" s="176"/>
      <c r="I1515" s="184" t="s">
        <v>1705</v>
      </c>
      <c r="J1515" s="207" t="s">
        <v>683</v>
      </c>
      <c r="K1515" s="208">
        <f t="shared" si="36"/>
        <v>175</v>
      </c>
      <c r="L1515" s="180"/>
      <c r="M1515" s="181"/>
    </row>
    <row r="1516" spans="1:13" x14ac:dyDescent="0.2">
      <c r="A1516" s="173"/>
      <c r="B1516" s="174"/>
      <c r="C1516" s="175"/>
      <c r="D1516" s="176"/>
      <c r="E1516" s="176"/>
      <c r="F1516" s="176"/>
      <c r="G1516" s="176"/>
      <c r="H1516" s="176"/>
      <c r="I1516" s="184" t="s">
        <v>2026</v>
      </c>
      <c r="J1516" s="207" t="s">
        <v>683</v>
      </c>
      <c r="K1516" s="208">
        <f t="shared" si="36"/>
        <v>175</v>
      </c>
      <c r="L1516" s="180"/>
      <c r="M1516" s="181"/>
    </row>
    <row r="1517" spans="1:13" x14ac:dyDescent="0.2">
      <c r="A1517" s="173"/>
      <c r="B1517" s="174"/>
      <c r="C1517" s="175"/>
      <c r="D1517" s="176"/>
      <c r="E1517" s="176"/>
      <c r="F1517" s="176"/>
      <c r="G1517" s="176"/>
      <c r="H1517" s="176"/>
      <c r="I1517" s="184" t="s">
        <v>2020</v>
      </c>
      <c r="J1517" s="207" t="s">
        <v>683</v>
      </c>
      <c r="K1517" s="208">
        <f t="shared" si="36"/>
        <v>175</v>
      </c>
      <c r="L1517" s="180"/>
      <c r="M1517" s="181"/>
    </row>
    <row r="1518" spans="1:13" x14ac:dyDescent="0.2">
      <c r="A1518" s="173"/>
      <c r="B1518" s="174"/>
      <c r="C1518" s="175"/>
      <c r="D1518" s="176"/>
      <c r="E1518" s="176"/>
      <c r="F1518" s="176"/>
      <c r="G1518" s="176"/>
      <c r="H1518" s="176"/>
      <c r="I1518" s="184" t="s">
        <v>2027</v>
      </c>
      <c r="J1518" s="207" t="s">
        <v>683</v>
      </c>
      <c r="K1518" s="208">
        <f t="shared" si="36"/>
        <v>175</v>
      </c>
      <c r="L1518" s="180"/>
      <c r="M1518" s="181"/>
    </row>
    <row r="1519" spans="1:13" x14ac:dyDescent="0.2">
      <c r="A1519" s="173"/>
      <c r="B1519" s="174"/>
      <c r="C1519" s="175"/>
      <c r="D1519" s="176"/>
      <c r="E1519" s="176"/>
      <c r="F1519" s="176"/>
      <c r="G1519" s="176"/>
      <c r="H1519" s="176"/>
      <c r="I1519" s="184" t="s">
        <v>2028</v>
      </c>
      <c r="J1519" s="207" t="s">
        <v>683</v>
      </c>
      <c r="K1519" s="208">
        <f t="shared" si="36"/>
        <v>175</v>
      </c>
      <c r="L1519" s="180"/>
      <c r="M1519" s="181"/>
    </row>
    <row r="1520" spans="1:13" x14ac:dyDescent="0.2">
      <c r="A1520" s="173"/>
      <c r="B1520" s="174"/>
      <c r="C1520" s="175"/>
      <c r="D1520" s="176"/>
      <c r="E1520" s="176"/>
      <c r="F1520" s="176"/>
      <c r="G1520" s="176"/>
      <c r="H1520" s="176"/>
      <c r="I1520" s="184" t="s">
        <v>2029</v>
      </c>
      <c r="J1520" s="207" t="s">
        <v>683</v>
      </c>
      <c r="K1520" s="208">
        <f>3500*3%</f>
        <v>105</v>
      </c>
      <c r="L1520" s="180"/>
      <c r="M1520" s="181"/>
    </row>
    <row r="1521" spans="1:13" x14ac:dyDescent="0.2">
      <c r="A1521" s="173"/>
      <c r="B1521" s="174"/>
      <c r="C1521" s="175"/>
      <c r="D1521" s="176"/>
      <c r="E1521" s="176"/>
      <c r="F1521" s="176"/>
      <c r="G1521" s="176"/>
      <c r="H1521" s="176"/>
      <c r="I1521" s="184" t="s">
        <v>2030</v>
      </c>
      <c r="J1521" s="207" t="s">
        <v>683</v>
      </c>
      <c r="K1521" s="208">
        <f>3500*2%</f>
        <v>70</v>
      </c>
      <c r="L1521" s="180"/>
      <c r="M1521" s="181"/>
    </row>
    <row r="1522" spans="1:13" x14ac:dyDescent="0.2">
      <c r="A1522" s="185"/>
      <c r="B1522" s="186"/>
      <c r="C1522" s="187"/>
      <c r="D1522" s="188"/>
      <c r="E1522" s="188"/>
      <c r="F1522" s="188"/>
      <c r="G1522" s="188"/>
      <c r="H1522" s="188"/>
      <c r="I1522" s="202"/>
      <c r="J1522" s="203"/>
      <c r="K1522" s="191">
        <f>SUM(K1512:K1521)</f>
        <v>3500</v>
      </c>
      <c r="L1522" s="192"/>
      <c r="M1522" s="193"/>
    </row>
    <row r="1523" spans="1:13" ht="23.25" customHeight="1" x14ac:dyDescent="0.2">
      <c r="A1523" s="163">
        <v>371</v>
      </c>
      <c r="B1523" s="164" t="s">
        <v>2031</v>
      </c>
      <c r="C1523" s="165"/>
      <c r="D1523" s="166" t="s">
        <v>163</v>
      </c>
      <c r="E1523" s="166"/>
      <c r="F1523" s="166"/>
      <c r="G1523" s="166"/>
      <c r="H1523" s="166"/>
      <c r="I1523" s="276" t="s">
        <v>2032</v>
      </c>
      <c r="J1523" s="249" t="s">
        <v>2023</v>
      </c>
      <c r="K1523" s="206">
        <f>100415*52%</f>
        <v>52215.8</v>
      </c>
      <c r="L1523" s="170" t="s">
        <v>166</v>
      </c>
      <c r="M1523" s="171" t="s">
        <v>2033</v>
      </c>
    </row>
    <row r="1524" spans="1:13" x14ac:dyDescent="0.2">
      <c r="A1524" s="173"/>
      <c r="B1524" s="174"/>
      <c r="C1524" s="175"/>
      <c r="D1524" s="176"/>
      <c r="E1524" s="176"/>
      <c r="F1524" s="176"/>
      <c r="G1524" s="176"/>
      <c r="H1524" s="176"/>
      <c r="I1524" s="184" t="s">
        <v>2034</v>
      </c>
      <c r="J1524" s="207" t="s">
        <v>919</v>
      </c>
      <c r="K1524" s="208">
        <f>100415*25%</f>
        <v>25103.75</v>
      </c>
      <c r="L1524" s="180"/>
      <c r="M1524" s="181"/>
    </row>
    <row r="1525" spans="1:13" x14ac:dyDescent="0.2">
      <c r="A1525" s="173"/>
      <c r="B1525" s="174"/>
      <c r="C1525" s="175"/>
      <c r="D1525" s="176"/>
      <c r="E1525" s="176"/>
      <c r="F1525" s="176"/>
      <c r="G1525" s="176"/>
      <c r="H1525" s="176"/>
      <c r="I1525" s="184" t="s">
        <v>2035</v>
      </c>
      <c r="J1525" s="207" t="s">
        <v>919</v>
      </c>
      <c r="K1525" s="208">
        <f>100415*5%</f>
        <v>5020.75</v>
      </c>
      <c r="L1525" s="180"/>
      <c r="M1525" s="181"/>
    </row>
    <row r="1526" spans="1:13" x14ac:dyDescent="0.2">
      <c r="A1526" s="173"/>
      <c r="B1526" s="174"/>
      <c r="C1526" s="175"/>
      <c r="D1526" s="176"/>
      <c r="E1526" s="176"/>
      <c r="F1526" s="176"/>
      <c r="G1526" s="176"/>
      <c r="H1526" s="176"/>
      <c r="I1526" s="184" t="s">
        <v>2036</v>
      </c>
      <c r="J1526" s="207" t="s">
        <v>919</v>
      </c>
      <c r="K1526" s="208">
        <f>100415*4%</f>
        <v>4016.6</v>
      </c>
      <c r="L1526" s="180"/>
      <c r="M1526" s="181"/>
    </row>
    <row r="1527" spans="1:13" x14ac:dyDescent="0.2">
      <c r="A1527" s="173"/>
      <c r="B1527" s="174"/>
      <c r="C1527" s="175"/>
      <c r="D1527" s="176"/>
      <c r="E1527" s="176"/>
      <c r="F1527" s="176"/>
      <c r="G1527" s="176"/>
      <c r="H1527" s="176"/>
      <c r="I1527" s="184" t="s">
        <v>2037</v>
      </c>
      <c r="J1527" s="207" t="s">
        <v>919</v>
      </c>
      <c r="K1527" s="208">
        <f>100415*3%</f>
        <v>3012.45</v>
      </c>
      <c r="L1527" s="180"/>
      <c r="M1527" s="181"/>
    </row>
    <row r="1528" spans="1:13" x14ac:dyDescent="0.2">
      <c r="A1528" s="173"/>
      <c r="B1528" s="174"/>
      <c r="C1528" s="175"/>
      <c r="D1528" s="176"/>
      <c r="E1528" s="176"/>
      <c r="F1528" s="176"/>
      <c r="G1528" s="176"/>
      <c r="H1528" s="176"/>
      <c r="I1528" s="184" t="s">
        <v>2038</v>
      </c>
      <c r="J1528" s="207" t="s">
        <v>919</v>
      </c>
      <c r="K1528" s="208">
        <f>100415*2%</f>
        <v>2008.3</v>
      </c>
      <c r="L1528" s="180"/>
      <c r="M1528" s="181"/>
    </row>
    <row r="1529" spans="1:13" x14ac:dyDescent="0.2">
      <c r="A1529" s="173"/>
      <c r="B1529" s="174"/>
      <c r="C1529" s="175"/>
      <c r="D1529" s="176"/>
      <c r="E1529" s="176"/>
      <c r="F1529" s="176"/>
      <c r="G1529" s="176"/>
      <c r="H1529" s="176"/>
      <c r="I1529" s="184" t="s">
        <v>2039</v>
      </c>
      <c r="J1529" s="207" t="s">
        <v>919</v>
      </c>
      <c r="K1529" s="208">
        <f>100415*1%</f>
        <v>1004.15</v>
      </c>
      <c r="L1529" s="180"/>
      <c r="M1529" s="181"/>
    </row>
    <row r="1530" spans="1:13" x14ac:dyDescent="0.2">
      <c r="A1530" s="173"/>
      <c r="B1530" s="174"/>
      <c r="C1530" s="175"/>
      <c r="D1530" s="176"/>
      <c r="E1530" s="176"/>
      <c r="F1530" s="176"/>
      <c r="G1530" s="176"/>
      <c r="H1530" s="176"/>
      <c r="I1530" s="184" t="s">
        <v>2040</v>
      </c>
      <c r="J1530" s="207" t="s">
        <v>919</v>
      </c>
      <c r="K1530" s="208">
        <f>100415*1%</f>
        <v>1004.15</v>
      </c>
      <c r="L1530" s="180"/>
      <c r="M1530" s="181"/>
    </row>
    <row r="1531" spans="1:13" x14ac:dyDescent="0.2">
      <c r="A1531" s="173"/>
      <c r="B1531" s="174"/>
      <c r="C1531" s="175"/>
      <c r="D1531" s="176"/>
      <c r="E1531" s="176"/>
      <c r="F1531" s="176"/>
      <c r="G1531" s="176"/>
      <c r="H1531" s="176"/>
      <c r="I1531" s="184" t="s">
        <v>2041</v>
      </c>
      <c r="J1531" s="207" t="s">
        <v>919</v>
      </c>
      <c r="K1531" s="208">
        <f>100415*2%</f>
        <v>2008.3</v>
      </c>
      <c r="L1531" s="180"/>
      <c r="M1531" s="181"/>
    </row>
    <row r="1532" spans="1:13" x14ac:dyDescent="0.2">
      <c r="A1532" s="173"/>
      <c r="B1532" s="174"/>
      <c r="C1532" s="175"/>
      <c r="D1532" s="176"/>
      <c r="E1532" s="176"/>
      <c r="F1532" s="176"/>
      <c r="G1532" s="176"/>
      <c r="H1532" s="176"/>
      <c r="I1532" s="184" t="s">
        <v>2042</v>
      </c>
      <c r="J1532" s="207" t="s">
        <v>919</v>
      </c>
      <c r="K1532" s="208">
        <f>100415*1%</f>
        <v>1004.15</v>
      </c>
      <c r="L1532" s="180"/>
      <c r="M1532" s="181"/>
    </row>
    <row r="1533" spans="1:13" x14ac:dyDescent="0.2">
      <c r="A1533" s="173"/>
      <c r="B1533" s="174"/>
      <c r="C1533" s="175"/>
      <c r="D1533" s="176"/>
      <c r="E1533" s="176"/>
      <c r="F1533" s="176"/>
      <c r="G1533" s="176"/>
      <c r="H1533" s="176"/>
      <c r="I1533" s="184" t="s">
        <v>2043</v>
      </c>
      <c r="J1533" s="207" t="s">
        <v>919</v>
      </c>
      <c r="K1533" s="208">
        <f>100415*1%</f>
        <v>1004.15</v>
      </c>
      <c r="L1533" s="180"/>
      <c r="M1533" s="181"/>
    </row>
    <row r="1534" spans="1:13" x14ac:dyDescent="0.2">
      <c r="A1534" s="173"/>
      <c r="B1534" s="174"/>
      <c r="C1534" s="175"/>
      <c r="D1534" s="176"/>
      <c r="E1534" s="176"/>
      <c r="F1534" s="176"/>
      <c r="G1534" s="176"/>
      <c r="H1534" s="176"/>
      <c r="I1534" s="184" t="s">
        <v>2044</v>
      </c>
      <c r="J1534" s="207" t="s">
        <v>919</v>
      </c>
      <c r="K1534" s="208">
        <f>100415*1%</f>
        <v>1004.15</v>
      </c>
      <c r="L1534" s="180"/>
      <c r="M1534" s="181"/>
    </row>
    <row r="1535" spans="1:13" x14ac:dyDescent="0.2">
      <c r="A1535" s="173"/>
      <c r="B1535" s="174"/>
      <c r="C1535" s="175"/>
      <c r="D1535" s="176"/>
      <c r="E1535" s="176"/>
      <c r="F1535" s="176"/>
      <c r="G1535" s="176"/>
      <c r="H1535" s="176"/>
      <c r="I1535" s="184" t="s">
        <v>2045</v>
      </c>
      <c r="J1535" s="207" t="s">
        <v>919</v>
      </c>
      <c r="K1535" s="208">
        <f>100415*2%</f>
        <v>2008.3</v>
      </c>
      <c r="L1535" s="180"/>
      <c r="M1535" s="181"/>
    </row>
    <row r="1536" spans="1:13" x14ac:dyDescent="0.2">
      <c r="A1536" s="185"/>
      <c r="B1536" s="186"/>
      <c r="C1536" s="187"/>
      <c r="D1536" s="188"/>
      <c r="E1536" s="188"/>
      <c r="F1536" s="188"/>
      <c r="G1536" s="188"/>
      <c r="H1536" s="188"/>
      <c r="I1536" s="202"/>
      <c r="J1536" s="203"/>
      <c r="K1536" s="191">
        <f>SUM(K1523:K1535)</f>
        <v>100414.99999999999</v>
      </c>
      <c r="L1536" s="192"/>
      <c r="M1536" s="193"/>
    </row>
    <row r="1537" spans="1:13" x14ac:dyDescent="0.2">
      <c r="A1537" s="163">
        <v>372</v>
      </c>
      <c r="B1537" s="164" t="s">
        <v>2046</v>
      </c>
      <c r="C1537" s="165"/>
      <c r="D1537" s="252" t="s">
        <v>107</v>
      </c>
      <c r="E1537" s="166"/>
      <c r="F1537" s="166"/>
      <c r="G1537" s="166"/>
      <c r="H1537" s="166" t="s">
        <v>983</v>
      </c>
      <c r="I1537" s="167" t="s">
        <v>2047</v>
      </c>
      <c r="J1537" s="168" t="s">
        <v>1020</v>
      </c>
      <c r="K1537" s="169">
        <f>K1542*60%</f>
        <v>2220</v>
      </c>
      <c r="L1537" s="170" t="s">
        <v>111</v>
      </c>
      <c r="M1537" s="171" t="s">
        <v>2048</v>
      </c>
    </row>
    <row r="1538" spans="1:13" x14ac:dyDescent="0.2">
      <c r="A1538" s="173"/>
      <c r="B1538" s="174"/>
      <c r="C1538" s="175"/>
      <c r="D1538" s="245"/>
      <c r="E1538" s="176"/>
      <c r="F1538" s="176"/>
      <c r="G1538" s="176"/>
      <c r="H1538" s="176"/>
      <c r="I1538" s="184" t="s">
        <v>2049</v>
      </c>
      <c r="J1538" s="178" t="s">
        <v>1020</v>
      </c>
      <c r="K1538" s="179">
        <f>K1542*10%</f>
        <v>370</v>
      </c>
      <c r="L1538" s="180"/>
      <c r="M1538" s="181"/>
    </row>
    <row r="1539" spans="1:13" x14ac:dyDescent="0.2">
      <c r="A1539" s="173"/>
      <c r="B1539" s="174"/>
      <c r="C1539" s="175"/>
      <c r="D1539" s="245"/>
      <c r="E1539" s="176"/>
      <c r="F1539" s="176"/>
      <c r="G1539" s="176"/>
      <c r="H1539" s="176"/>
      <c r="I1539" s="167" t="s">
        <v>2050</v>
      </c>
      <c r="J1539" s="168" t="s">
        <v>1020</v>
      </c>
      <c r="K1539" s="230">
        <f>K1542*10%</f>
        <v>370</v>
      </c>
      <c r="L1539" s="180"/>
      <c r="M1539" s="181"/>
    </row>
    <row r="1540" spans="1:13" x14ac:dyDescent="0.2">
      <c r="A1540" s="173"/>
      <c r="B1540" s="174"/>
      <c r="C1540" s="175"/>
      <c r="D1540" s="245"/>
      <c r="E1540" s="176"/>
      <c r="F1540" s="176"/>
      <c r="G1540" s="176"/>
      <c r="H1540" s="176"/>
      <c r="I1540" s="184" t="s">
        <v>2051</v>
      </c>
      <c r="J1540" s="183" t="s">
        <v>1020</v>
      </c>
      <c r="K1540" s="208">
        <f>K1542*10%</f>
        <v>370</v>
      </c>
      <c r="L1540" s="180"/>
      <c r="M1540" s="181"/>
    </row>
    <row r="1541" spans="1:13" x14ac:dyDescent="0.2">
      <c r="A1541" s="173"/>
      <c r="B1541" s="174"/>
      <c r="C1541" s="175"/>
      <c r="D1541" s="245"/>
      <c r="E1541" s="176"/>
      <c r="F1541" s="176"/>
      <c r="G1541" s="176"/>
      <c r="H1541" s="176"/>
      <c r="I1541" s="184" t="s">
        <v>2052</v>
      </c>
      <c r="J1541" s="183" t="s">
        <v>1020</v>
      </c>
      <c r="K1541" s="208">
        <f>K1542*10%</f>
        <v>370</v>
      </c>
      <c r="L1541" s="180"/>
      <c r="M1541" s="181"/>
    </row>
    <row r="1542" spans="1:13" x14ac:dyDescent="0.2">
      <c r="A1542" s="185"/>
      <c r="B1542" s="186"/>
      <c r="C1542" s="187"/>
      <c r="D1542" s="246"/>
      <c r="E1542" s="188"/>
      <c r="F1542" s="188"/>
      <c r="G1542" s="188"/>
      <c r="H1542" s="188"/>
      <c r="I1542" s="202"/>
      <c r="J1542" s="190"/>
      <c r="K1542" s="209">
        <v>3700</v>
      </c>
      <c r="L1542" s="192"/>
      <c r="M1542" s="193"/>
    </row>
    <row r="1543" spans="1:13" ht="24" customHeight="1" x14ac:dyDescent="0.2">
      <c r="A1543" s="163">
        <v>373</v>
      </c>
      <c r="B1543" s="164" t="s">
        <v>2053</v>
      </c>
      <c r="C1543" s="165"/>
      <c r="D1543" s="252" t="s">
        <v>107</v>
      </c>
      <c r="E1543" s="166"/>
      <c r="F1543" s="166"/>
      <c r="G1543" s="166"/>
      <c r="H1543" s="166"/>
      <c r="I1543" s="276" t="s">
        <v>2054</v>
      </c>
      <c r="J1543" s="249" t="s">
        <v>1008</v>
      </c>
      <c r="K1543" s="206">
        <f>K1555*45%</f>
        <v>1800</v>
      </c>
      <c r="L1543" s="170" t="s">
        <v>111</v>
      </c>
      <c r="M1543" s="171" t="s">
        <v>2055</v>
      </c>
    </row>
    <row r="1544" spans="1:13" x14ac:dyDescent="0.2">
      <c r="A1544" s="173"/>
      <c r="B1544" s="174"/>
      <c r="C1544" s="175"/>
      <c r="D1544" s="245"/>
      <c r="E1544" s="176"/>
      <c r="F1544" s="176"/>
      <c r="G1544" s="176"/>
      <c r="H1544" s="176"/>
      <c r="I1544" s="184" t="s">
        <v>2056</v>
      </c>
      <c r="J1544" s="207" t="s">
        <v>1020</v>
      </c>
      <c r="K1544" s="208">
        <f>K1555*5%</f>
        <v>200</v>
      </c>
      <c r="L1544" s="180"/>
      <c r="M1544" s="181"/>
    </row>
    <row r="1545" spans="1:13" x14ac:dyDescent="0.2">
      <c r="A1545" s="173"/>
      <c r="B1545" s="174"/>
      <c r="C1545" s="175"/>
      <c r="D1545" s="245"/>
      <c r="E1545" s="176"/>
      <c r="F1545" s="176"/>
      <c r="G1545" s="176"/>
      <c r="H1545" s="176"/>
      <c r="I1545" s="184" t="s">
        <v>2057</v>
      </c>
      <c r="J1545" s="178" t="s">
        <v>1020</v>
      </c>
      <c r="K1545" s="208">
        <f>K1555*5%</f>
        <v>200</v>
      </c>
      <c r="L1545" s="180"/>
      <c r="M1545" s="181"/>
    </row>
    <row r="1546" spans="1:13" x14ac:dyDescent="0.2">
      <c r="A1546" s="173"/>
      <c r="B1546" s="174"/>
      <c r="C1546" s="175"/>
      <c r="D1546" s="245"/>
      <c r="E1546" s="176"/>
      <c r="F1546" s="176"/>
      <c r="G1546" s="176"/>
      <c r="H1546" s="176"/>
      <c r="I1546" s="184" t="s">
        <v>2058</v>
      </c>
      <c r="J1546" s="168" t="s">
        <v>1020</v>
      </c>
      <c r="K1546" s="201">
        <f>K1555*5%</f>
        <v>200</v>
      </c>
      <c r="L1546" s="180"/>
      <c r="M1546" s="181"/>
    </row>
    <row r="1547" spans="1:13" x14ac:dyDescent="0.2">
      <c r="A1547" s="173"/>
      <c r="B1547" s="174"/>
      <c r="C1547" s="175"/>
      <c r="D1547" s="245"/>
      <c r="E1547" s="176"/>
      <c r="F1547" s="176"/>
      <c r="G1547" s="176"/>
      <c r="H1547" s="176"/>
      <c r="I1547" s="184" t="s">
        <v>2059</v>
      </c>
      <c r="J1547" s="183" t="s">
        <v>1020</v>
      </c>
      <c r="K1547" s="208">
        <f>K1555*5%</f>
        <v>200</v>
      </c>
      <c r="L1547" s="180"/>
      <c r="M1547" s="181"/>
    </row>
    <row r="1548" spans="1:13" x14ac:dyDescent="0.2">
      <c r="A1548" s="173"/>
      <c r="B1548" s="174"/>
      <c r="C1548" s="175"/>
      <c r="D1548" s="245"/>
      <c r="E1548" s="176"/>
      <c r="F1548" s="176"/>
      <c r="G1548" s="176"/>
      <c r="H1548" s="176"/>
      <c r="I1548" s="167" t="s">
        <v>2060</v>
      </c>
      <c r="J1548" s="178" t="s">
        <v>1020</v>
      </c>
      <c r="K1548" s="201">
        <f>K1555*5%</f>
        <v>200</v>
      </c>
      <c r="L1548" s="180"/>
      <c r="M1548" s="181"/>
    </row>
    <row r="1549" spans="1:13" x14ac:dyDescent="0.2">
      <c r="A1549" s="173"/>
      <c r="B1549" s="174"/>
      <c r="C1549" s="175"/>
      <c r="D1549" s="245"/>
      <c r="E1549" s="176"/>
      <c r="F1549" s="176"/>
      <c r="G1549" s="176"/>
      <c r="H1549" s="176"/>
      <c r="I1549" s="184" t="s">
        <v>2061</v>
      </c>
      <c r="J1549" s="168" t="s">
        <v>1020</v>
      </c>
      <c r="K1549" s="230">
        <f>K1555*5%</f>
        <v>200</v>
      </c>
      <c r="L1549" s="180"/>
      <c r="M1549" s="181"/>
    </row>
    <row r="1550" spans="1:13" x14ac:dyDescent="0.2">
      <c r="A1550" s="173"/>
      <c r="B1550" s="174"/>
      <c r="C1550" s="175"/>
      <c r="D1550" s="245"/>
      <c r="E1550" s="176"/>
      <c r="F1550" s="176"/>
      <c r="G1550" s="176"/>
      <c r="H1550" s="176"/>
      <c r="I1550" s="167" t="s">
        <v>2062</v>
      </c>
      <c r="J1550" s="178" t="s">
        <v>1020</v>
      </c>
      <c r="K1550" s="208">
        <f>K1555*5%</f>
        <v>200</v>
      </c>
      <c r="L1550" s="180"/>
      <c r="M1550" s="181"/>
    </row>
    <row r="1551" spans="1:13" x14ac:dyDescent="0.2">
      <c r="A1551" s="173"/>
      <c r="B1551" s="174"/>
      <c r="C1551" s="175"/>
      <c r="D1551" s="245"/>
      <c r="E1551" s="176"/>
      <c r="F1551" s="176"/>
      <c r="G1551" s="176"/>
      <c r="H1551" s="176"/>
      <c r="I1551" s="177" t="s">
        <v>2063</v>
      </c>
      <c r="J1551" s="183" t="s">
        <v>1020</v>
      </c>
      <c r="K1551" s="243">
        <f>K1555*5%</f>
        <v>200</v>
      </c>
      <c r="L1551" s="180"/>
      <c r="M1551" s="181"/>
    </row>
    <row r="1552" spans="1:13" x14ac:dyDescent="0.2">
      <c r="A1552" s="173"/>
      <c r="B1552" s="174"/>
      <c r="C1552" s="175"/>
      <c r="D1552" s="245"/>
      <c r="E1552" s="176"/>
      <c r="F1552" s="176"/>
      <c r="G1552" s="176"/>
      <c r="H1552" s="176"/>
      <c r="I1552" s="177" t="s">
        <v>2064</v>
      </c>
      <c r="J1552" s="178" t="s">
        <v>1020</v>
      </c>
      <c r="K1552" s="243">
        <f>K1555*5%</f>
        <v>200</v>
      </c>
      <c r="L1552" s="180"/>
      <c r="M1552" s="181"/>
    </row>
    <row r="1553" spans="1:13" x14ac:dyDescent="0.2">
      <c r="A1553" s="173"/>
      <c r="B1553" s="174"/>
      <c r="C1553" s="175"/>
      <c r="D1553" s="245"/>
      <c r="E1553" s="176"/>
      <c r="F1553" s="176"/>
      <c r="G1553" s="176"/>
      <c r="H1553" s="176"/>
      <c r="I1553" s="177" t="s">
        <v>2065</v>
      </c>
      <c r="J1553" s="168" t="s">
        <v>1020</v>
      </c>
      <c r="K1553" s="201">
        <f>K1555*5%</f>
        <v>200</v>
      </c>
      <c r="L1553" s="180"/>
      <c r="M1553" s="181"/>
    </row>
    <row r="1554" spans="1:13" x14ac:dyDescent="0.2">
      <c r="A1554" s="173"/>
      <c r="B1554" s="174"/>
      <c r="C1554" s="175"/>
      <c r="D1554" s="245"/>
      <c r="E1554" s="176"/>
      <c r="F1554" s="176"/>
      <c r="G1554" s="176"/>
      <c r="H1554" s="176"/>
      <c r="I1554" s="177" t="s">
        <v>1019</v>
      </c>
      <c r="J1554" s="178" t="s">
        <v>1020</v>
      </c>
      <c r="K1554" s="208">
        <f>K1555*5%</f>
        <v>200</v>
      </c>
      <c r="L1554" s="180"/>
      <c r="M1554" s="181"/>
    </row>
    <row r="1555" spans="1:13" x14ac:dyDescent="0.2">
      <c r="A1555" s="185"/>
      <c r="B1555" s="186"/>
      <c r="C1555" s="187"/>
      <c r="D1555" s="246"/>
      <c r="E1555" s="188"/>
      <c r="F1555" s="188"/>
      <c r="G1555" s="188"/>
      <c r="H1555" s="188"/>
      <c r="I1555" s="202"/>
      <c r="J1555" s="215"/>
      <c r="K1555" s="209">
        <v>4000</v>
      </c>
      <c r="L1555" s="192"/>
      <c r="M1555" s="193"/>
    </row>
    <row r="1556" spans="1:13" ht="20.25" customHeight="1" x14ac:dyDescent="0.2">
      <c r="A1556" s="163">
        <v>374</v>
      </c>
      <c r="B1556" s="164" t="s">
        <v>2066</v>
      </c>
      <c r="C1556" s="165"/>
      <c r="D1556" s="252" t="s">
        <v>107</v>
      </c>
      <c r="E1556" s="166"/>
      <c r="F1556" s="166"/>
      <c r="G1556" s="166"/>
      <c r="H1556" s="166" t="s">
        <v>1345</v>
      </c>
      <c r="I1556" s="167" t="s">
        <v>2067</v>
      </c>
      <c r="J1556" s="168" t="s">
        <v>1008</v>
      </c>
      <c r="K1556" s="169">
        <f>K1562*50%</f>
        <v>2000</v>
      </c>
      <c r="L1556" s="170" t="s">
        <v>111</v>
      </c>
      <c r="M1556" s="171" t="s">
        <v>2068</v>
      </c>
    </row>
    <row r="1557" spans="1:13" x14ac:dyDescent="0.2">
      <c r="A1557" s="173"/>
      <c r="B1557" s="174"/>
      <c r="C1557" s="175"/>
      <c r="D1557" s="245"/>
      <c r="E1557" s="176"/>
      <c r="F1557" s="176"/>
      <c r="G1557" s="176"/>
      <c r="H1557" s="176"/>
      <c r="I1557" s="177" t="s">
        <v>2069</v>
      </c>
      <c r="J1557" s="183" t="s">
        <v>1020</v>
      </c>
      <c r="K1557" s="179">
        <f>K1562*10%</f>
        <v>400</v>
      </c>
      <c r="L1557" s="180"/>
      <c r="M1557" s="181"/>
    </row>
    <row r="1558" spans="1:13" x14ac:dyDescent="0.2">
      <c r="A1558" s="173"/>
      <c r="B1558" s="174"/>
      <c r="C1558" s="175"/>
      <c r="D1558" s="245"/>
      <c r="E1558" s="176"/>
      <c r="F1558" s="176"/>
      <c r="G1558" s="176"/>
      <c r="H1558" s="176"/>
      <c r="I1558" s="177" t="s">
        <v>2070</v>
      </c>
      <c r="J1558" s="178" t="s">
        <v>1020</v>
      </c>
      <c r="K1558" s="179">
        <f>K1562*10%</f>
        <v>400</v>
      </c>
      <c r="L1558" s="180"/>
      <c r="M1558" s="181"/>
    </row>
    <row r="1559" spans="1:13" x14ac:dyDescent="0.2">
      <c r="A1559" s="173"/>
      <c r="B1559" s="174"/>
      <c r="C1559" s="175"/>
      <c r="D1559" s="245"/>
      <c r="E1559" s="176"/>
      <c r="F1559" s="176"/>
      <c r="G1559" s="176"/>
      <c r="H1559" s="176"/>
      <c r="I1559" s="184" t="s">
        <v>1980</v>
      </c>
      <c r="J1559" s="304" t="s">
        <v>1020</v>
      </c>
      <c r="K1559" s="179">
        <f>K1562*10%</f>
        <v>400</v>
      </c>
      <c r="L1559" s="180"/>
      <c r="M1559" s="181"/>
    </row>
    <row r="1560" spans="1:13" x14ac:dyDescent="0.2">
      <c r="A1560" s="173"/>
      <c r="B1560" s="174"/>
      <c r="C1560" s="175"/>
      <c r="D1560" s="245"/>
      <c r="E1560" s="176"/>
      <c r="F1560" s="176"/>
      <c r="G1560" s="176"/>
      <c r="H1560" s="176"/>
      <c r="I1560" s="167" t="s">
        <v>2071</v>
      </c>
      <c r="J1560" s="304" t="s">
        <v>1020</v>
      </c>
      <c r="K1560" s="208">
        <f>K1562*10%</f>
        <v>400</v>
      </c>
      <c r="L1560" s="180"/>
      <c r="M1560" s="181"/>
    </row>
    <row r="1561" spans="1:13" x14ac:dyDescent="0.2">
      <c r="A1561" s="173"/>
      <c r="B1561" s="174"/>
      <c r="C1561" s="175"/>
      <c r="D1561" s="245"/>
      <c r="E1561" s="176"/>
      <c r="F1561" s="176"/>
      <c r="G1561" s="176"/>
      <c r="H1561" s="176"/>
      <c r="I1561" s="184" t="s">
        <v>2072</v>
      </c>
      <c r="J1561" s="304" t="s">
        <v>1020</v>
      </c>
      <c r="K1561" s="201">
        <f>K1562*10%</f>
        <v>400</v>
      </c>
      <c r="L1561" s="180"/>
      <c r="M1561" s="181"/>
    </row>
    <row r="1562" spans="1:13" x14ac:dyDescent="0.2">
      <c r="A1562" s="185"/>
      <c r="B1562" s="186"/>
      <c r="C1562" s="187"/>
      <c r="D1562" s="246"/>
      <c r="E1562" s="188"/>
      <c r="F1562" s="188"/>
      <c r="G1562" s="188"/>
      <c r="H1562" s="188"/>
      <c r="I1562" s="189"/>
      <c r="J1562" s="215"/>
      <c r="K1562" s="216">
        <v>4000</v>
      </c>
      <c r="L1562" s="192"/>
      <c r="M1562" s="193"/>
    </row>
    <row r="1563" spans="1:13" ht="20.25" customHeight="1" x14ac:dyDescent="0.2">
      <c r="A1563" s="163">
        <v>375</v>
      </c>
      <c r="B1563" s="164" t="s">
        <v>2073</v>
      </c>
      <c r="C1563" s="165"/>
      <c r="D1563" s="252" t="s">
        <v>107</v>
      </c>
      <c r="E1563" s="166"/>
      <c r="F1563" s="166"/>
      <c r="G1563" s="166"/>
      <c r="H1563" s="166"/>
      <c r="I1563" s="167" t="s">
        <v>2074</v>
      </c>
      <c r="J1563" s="249" t="s">
        <v>1008</v>
      </c>
      <c r="K1563" s="206">
        <f>K1570*40%</f>
        <v>1480</v>
      </c>
      <c r="L1563" s="170" t="s">
        <v>111</v>
      </c>
      <c r="M1563" s="171" t="s">
        <v>2075</v>
      </c>
    </row>
    <row r="1564" spans="1:13" x14ac:dyDescent="0.2">
      <c r="A1564" s="173"/>
      <c r="B1564" s="174"/>
      <c r="C1564" s="175"/>
      <c r="D1564" s="245"/>
      <c r="E1564" s="176"/>
      <c r="F1564" s="176"/>
      <c r="G1564" s="176"/>
      <c r="H1564" s="176"/>
      <c r="I1564" s="184" t="s">
        <v>2049</v>
      </c>
      <c r="J1564" s="207" t="s">
        <v>1020</v>
      </c>
      <c r="K1564" s="208">
        <f>K1570*10%</f>
        <v>370</v>
      </c>
      <c r="L1564" s="180"/>
      <c r="M1564" s="181"/>
    </row>
    <row r="1565" spans="1:13" x14ac:dyDescent="0.2">
      <c r="A1565" s="173"/>
      <c r="B1565" s="174"/>
      <c r="C1565" s="175"/>
      <c r="D1565" s="245"/>
      <c r="E1565" s="176"/>
      <c r="F1565" s="176"/>
      <c r="G1565" s="176"/>
      <c r="H1565" s="176"/>
      <c r="I1565" s="184" t="s">
        <v>2072</v>
      </c>
      <c r="J1565" s="207" t="s">
        <v>1020</v>
      </c>
      <c r="K1565" s="208">
        <f>K1570*10%</f>
        <v>370</v>
      </c>
      <c r="L1565" s="180"/>
      <c r="M1565" s="181"/>
    </row>
    <row r="1566" spans="1:13" x14ac:dyDescent="0.2">
      <c r="A1566" s="173"/>
      <c r="B1566" s="174"/>
      <c r="C1566" s="175"/>
      <c r="D1566" s="245"/>
      <c r="E1566" s="176"/>
      <c r="F1566" s="176"/>
      <c r="G1566" s="176"/>
      <c r="H1566" s="176"/>
      <c r="I1566" s="184" t="s">
        <v>2076</v>
      </c>
      <c r="J1566" s="207" t="s">
        <v>1020</v>
      </c>
      <c r="K1566" s="208">
        <f>K1570*10%</f>
        <v>370</v>
      </c>
      <c r="L1566" s="180"/>
      <c r="M1566" s="181"/>
    </row>
    <row r="1567" spans="1:13" x14ac:dyDescent="0.2">
      <c r="A1567" s="173"/>
      <c r="B1567" s="174"/>
      <c r="C1567" s="175"/>
      <c r="D1567" s="245"/>
      <c r="E1567" s="176"/>
      <c r="F1567" s="176"/>
      <c r="G1567" s="176"/>
      <c r="H1567" s="176"/>
      <c r="I1567" s="184" t="s">
        <v>2077</v>
      </c>
      <c r="J1567" s="178" t="s">
        <v>1020</v>
      </c>
      <c r="K1567" s="201">
        <f>K1570*10%</f>
        <v>370</v>
      </c>
      <c r="L1567" s="180"/>
      <c r="M1567" s="181"/>
    </row>
    <row r="1568" spans="1:13" x14ac:dyDescent="0.2">
      <c r="A1568" s="173"/>
      <c r="B1568" s="174"/>
      <c r="C1568" s="175"/>
      <c r="D1568" s="245"/>
      <c r="E1568" s="176"/>
      <c r="F1568" s="176"/>
      <c r="G1568" s="176"/>
      <c r="H1568" s="176"/>
      <c r="I1568" s="276" t="s">
        <v>2070</v>
      </c>
      <c r="J1568" s="249" t="s">
        <v>1020</v>
      </c>
      <c r="K1568" s="230">
        <f>K1570*10%</f>
        <v>370</v>
      </c>
      <c r="L1568" s="180"/>
      <c r="M1568" s="181"/>
    </row>
    <row r="1569" spans="1:67" ht="21.75" customHeight="1" x14ac:dyDescent="0.2">
      <c r="A1569" s="173"/>
      <c r="B1569" s="174"/>
      <c r="C1569" s="175"/>
      <c r="D1569" s="245"/>
      <c r="E1569" s="176"/>
      <c r="F1569" s="176"/>
      <c r="G1569" s="176"/>
      <c r="H1569" s="176"/>
      <c r="I1569" s="167" t="s">
        <v>2078</v>
      </c>
      <c r="J1569" s="178" t="s">
        <v>1020</v>
      </c>
      <c r="K1569" s="208">
        <f>K1570*10%</f>
        <v>370</v>
      </c>
      <c r="L1569" s="180"/>
      <c r="M1569" s="181"/>
    </row>
    <row r="1570" spans="1:67" x14ac:dyDescent="0.2">
      <c r="A1570" s="185"/>
      <c r="B1570" s="186"/>
      <c r="C1570" s="187"/>
      <c r="D1570" s="246"/>
      <c r="E1570" s="188"/>
      <c r="F1570" s="188"/>
      <c r="G1570" s="188"/>
      <c r="H1570" s="188"/>
      <c r="I1570" s="202"/>
      <c r="J1570" s="215"/>
      <c r="K1570" s="209">
        <v>3700</v>
      </c>
      <c r="L1570" s="192"/>
      <c r="M1570" s="193"/>
    </row>
    <row r="1571" spans="1:67" ht="23.25" customHeight="1" x14ac:dyDescent="0.2">
      <c r="A1571" s="163">
        <v>376</v>
      </c>
      <c r="B1571" s="164" t="s">
        <v>2079</v>
      </c>
      <c r="C1571" s="165"/>
      <c r="D1571" s="252" t="s">
        <v>107</v>
      </c>
      <c r="E1571" s="166"/>
      <c r="F1571" s="166"/>
      <c r="G1571" s="166"/>
      <c r="H1571" s="166"/>
      <c r="I1571" s="167" t="s">
        <v>2080</v>
      </c>
      <c r="J1571" s="168" t="s">
        <v>1008</v>
      </c>
      <c r="K1571" s="169">
        <f>K1578*25%</f>
        <v>875</v>
      </c>
      <c r="L1571" s="170" t="s">
        <v>111</v>
      </c>
      <c r="M1571" s="171" t="s">
        <v>2081</v>
      </c>
    </row>
    <row r="1572" spans="1:67" x14ac:dyDescent="0.2">
      <c r="A1572" s="173"/>
      <c r="B1572" s="174"/>
      <c r="C1572" s="175"/>
      <c r="D1572" s="245"/>
      <c r="E1572" s="176"/>
      <c r="F1572" s="176"/>
      <c r="G1572" s="176"/>
      <c r="H1572" s="176"/>
      <c r="I1572" s="184" t="s">
        <v>2082</v>
      </c>
      <c r="J1572" s="178" t="s">
        <v>1020</v>
      </c>
      <c r="K1572" s="179">
        <f>K1578*50%</f>
        <v>1750</v>
      </c>
      <c r="L1572" s="180"/>
      <c r="M1572" s="181"/>
    </row>
    <row r="1573" spans="1:67" x14ac:dyDescent="0.2">
      <c r="A1573" s="173"/>
      <c r="B1573" s="174"/>
      <c r="C1573" s="175"/>
      <c r="D1573" s="245"/>
      <c r="E1573" s="176"/>
      <c r="F1573" s="176"/>
      <c r="G1573" s="176"/>
      <c r="H1573" s="176"/>
      <c r="I1573" s="184" t="s">
        <v>2083</v>
      </c>
      <c r="J1573" s="178" t="s">
        <v>1020</v>
      </c>
      <c r="K1573" s="179">
        <f>K1578*5%</f>
        <v>175</v>
      </c>
      <c r="L1573" s="180"/>
      <c r="M1573" s="181"/>
    </row>
    <row r="1574" spans="1:67" x14ac:dyDescent="0.2">
      <c r="A1574" s="173"/>
      <c r="B1574" s="174"/>
      <c r="C1574" s="175"/>
      <c r="D1574" s="245"/>
      <c r="E1574" s="176"/>
      <c r="F1574" s="176"/>
      <c r="G1574" s="176"/>
      <c r="H1574" s="176"/>
      <c r="I1574" s="184" t="s">
        <v>2084</v>
      </c>
      <c r="J1574" s="178" t="s">
        <v>1020</v>
      </c>
      <c r="K1574" s="179">
        <f>K1578*5%</f>
        <v>175</v>
      </c>
      <c r="L1574" s="180"/>
      <c r="M1574" s="181"/>
    </row>
    <row r="1575" spans="1:67" x14ac:dyDescent="0.2">
      <c r="A1575" s="173"/>
      <c r="B1575" s="174"/>
      <c r="C1575" s="175"/>
      <c r="D1575" s="245"/>
      <c r="E1575" s="176"/>
      <c r="F1575" s="176"/>
      <c r="G1575" s="176"/>
      <c r="H1575" s="176"/>
      <c r="I1575" s="184" t="s">
        <v>2085</v>
      </c>
      <c r="J1575" s="178" t="s">
        <v>1020</v>
      </c>
      <c r="K1575" s="179">
        <f>K1578*5%</f>
        <v>175</v>
      </c>
      <c r="L1575" s="180"/>
      <c r="M1575" s="181"/>
    </row>
    <row r="1576" spans="1:67" x14ac:dyDescent="0.2">
      <c r="A1576" s="173"/>
      <c r="B1576" s="174"/>
      <c r="C1576" s="175"/>
      <c r="D1576" s="245"/>
      <c r="E1576" s="176"/>
      <c r="F1576" s="176"/>
      <c r="G1576" s="176"/>
      <c r="H1576" s="176"/>
      <c r="I1576" s="184" t="s">
        <v>2086</v>
      </c>
      <c r="J1576" s="178" t="s">
        <v>1020</v>
      </c>
      <c r="K1576" s="179">
        <f>K1578*5%</f>
        <v>175</v>
      </c>
      <c r="L1576" s="180"/>
      <c r="M1576" s="181"/>
    </row>
    <row r="1577" spans="1:67" x14ac:dyDescent="0.2">
      <c r="A1577" s="173"/>
      <c r="B1577" s="174"/>
      <c r="C1577" s="175"/>
      <c r="D1577" s="245"/>
      <c r="E1577" s="176"/>
      <c r="F1577" s="176"/>
      <c r="G1577" s="176"/>
      <c r="H1577" s="176"/>
      <c r="I1577" s="184" t="s">
        <v>2087</v>
      </c>
      <c r="J1577" s="178" t="s">
        <v>1020</v>
      </c>
      <c r="K1577" s="179">
        <f>K1578*5%</f>
        <v>175</v>
      </c>
      <c r="L1577" s="180"/>
      <c r="M1577" s="181"/>
    </row>
    <row r="1578" spans="1:67" x14ac:dyDescent="0.2">
      <c r="A1578" s="185"/>
      <c r="B1578" s="186"/>
      <c r="C1578" s="187"/>
      <c r="D1578" s="246"/>
      <c r="E1578" s="188"/>
      <c r="F1578" s="188"/>
      <c r="G1578" s="188"/>
      <c r="H1578" s="188"/>
      <c r="I1578" s="189"/>
      <c r="J1578" s="215"/>
      <c r="K1578" s="216">
        <v>3500</v>
      </c>
      <c r="L1578" s="192"/>
      <c r="M1578" s="193"/>
    </row>
    <row r="1579" spans="1:67" ht="39.75" customHeight="1" x14ac:dyDescent="0.2">
      <c r="A1579" s="305">
        <v>377</v>
      </c>
      <c r="B1579" s="164" t="s">
        <v>2088</v>
      </c>
      <c r="C1579" s="165"/>
      <c r="D1579" s="307" t="s">
        <v>107</v>
      </c>
      <c r="E1579" s="308"/>
      <c r="F1579" s="308"/>
      <c r="G1579" s="308"/>
      <c r="H1579" s="308"/>
      <c r="I1579" s="189" t="s">
        <v>2089</v>
      </c>
      <c r="J1579" s="215" t="s">
        <v>1020</v>
      </c>
      <c r="K1579" s="260">
        <v>18000</v>
      </c>
      <c r="L1579" s="309" t="s">
        <v>111</v>
      </c>
      <c r="M1579" s="261" t="s">
        <v>2090</v>
      </c>
    </row>
    <row r="1580" spans="1:67" ht="45" customHeight="1" x14ac:dyDescent="0.2">
      <c r="A1580" s="305">
        <v>378</v>
      </c>
      <c r="B1580" s="164" t="s">
        <v>2091</v>
      </c>
      <c r="C1580" s="165"/>
      <c r="D1580" s="307" t="s">
        <v>107</v>
      </c>
      <c r="E1580" s="308"/>
      <c r="F1580" s="308"/>
      <c r="G1580" s="308"/>
      <c r="H1580" s="308"/>
      <c r="I1580" s="189" t="s">
        <v>2092</v>
      </c>
      <c r="J1580" s="215" t="s">
        <v>1020</v>
      </c>
      <c r="K1580" s="260">
        <v>18000</v>
      </c>
      <c r="L1580" s="309" t="s">
        <v>111</v>
      </c>
      <c r="M1580" s="261" t="s">
        <v>2093</v>
      </c>
    </row>
    <row r="1581" spans="1:67" ht="75" customHeight="1" x14ac:dyDescent="0.2">
      <c r="A1581" s="305">
        <v>379</v>
      </c>
      <c r="B1581" s="396" t="s">
        <v>2094</v>
      </c>
      <c r="C1581" s="396"/>
      <c r="D1581" s="449" t="s">
        <v>25</v>
      </c>
      <c r="E1581" s="308"/>
      <c r="F1581" s="308" t="s">
        <v>1265</v>
      </c>
      <c r="G1581" s="308" t="s">
        <v>2095</v>
      </c>
      <c r="H1581" s="450" t="s">
        <v>1146</v>
      </c>
      <c r="I1581" s="451" t="s">
        <v>2096</v>
      </c>
      <c r="J1581" s="452" t="s">
        <v>1020</v>
      </c>
      <c r="K1581" s="284">
        <v>420000</v>
      </c>
      <c r="L1581" s="402" t="s">
        <v>2095</v>
      </c>
      <c r="M1581" s="282" t="s">
        <v>2097</v>
      </c>
    </row>
    <row r="1582" spans="1:67" ht="75" customHeight="1" x14ac:dyDescent="0.2">
      <c r="A1582" s="305">
        <v>380</v>
      </c>
      <c r="B1582" s="396" t="s">
        <v>2098</v>
      </c>
      <c r="C1582" s="396"/>
      <c r="D1582" s="449" t="s">
        <v>25</v>
      </c>
      <c r="E1582" s="308"/>
      <c r="F1582" s="308" t="s">
        <v>1265</v>
      </c>
      <c r="G1582" s="308" t="s">
        <v>2099</v>
      </c>
      <c r="H1582" s="450" t="s">
        <v>769</v>
      </c>
      <c r="I1582" s="451" t="s">
        <v>2096</v>
      </c>
      <c r="J1582" s="452" t="s">
        <v>1020</v>
      </c>
      <c r="K1582" s="284">
        <v>400000</v>
      </c>
      <c r="L1582" s="402" t="s">
        <v>2099</v>
      </c>
      <c r="M1582" s="282" t="s">
        <v>2100</v>
      </c>
    </row>
    <row r="1583" spans="1:67" s="269" customFormat="1" ht="75" customHeight="1" x14ac:dyDescent="0.2">
      <c r="A1583" s="305">
        <v>381</v>
      </c>
      <c r="B1583" s="310" t="s">
        <v>2101</v>
      </c>
      <c r="C1583" s="311"/>
      <c r="D1583" s="308" t="s">
        <v>107</v>
      </c>
      <c r="E1583" s="308"/>
      <c r="F1583" s="308"/>
      <c r="G1583" s="308"/>
      <c r="H1583" s="308"/>
      <c r="I1583" s="282" t="s">
        <v>2102</v>
      </c>
      <c r="J1583" s="283" t="s">
        <v>1020</v>
      </c>
      <c r="K1583" s="284">
        <v>40000</v>
      </c>
      <c r="L1583" s="306" t="s">
        <v>111</v>
      </c>
      <c r="M1583" s="261" t="s">
        <v>2103</v>
      </c>
      <c r="N1583" s="132"/>
      <c r="O1583" s="132"/>
      <c r="P1583" s="132"/>
      <c r="Q1583" s="132"/>
      <c r="R1583" s="132"/>
      <c r="S1583" s="132"/>
      <c r="T1583" s="132"/>
      <c r="U1583" s="132"/>
      <c r="V1583" s="132"/>
      <c r="W1583" s="132"/>
      <c r="X1583" s="132"/>
      <c r="Y1583" s="132"/>
      <c r="Z1583" s="132"/>
      <c r="AA1583" s="132"/>
      <c r="AB1583" s="132"/>
      <c r="AC1583" s="132"/>
      <c r="AD1583" s="132"/>
      <c r="AE1583" s="132"/>
      <c r="AF1583" s="132"/>
      <c r="AG1583" s="132"/>
      <c r="AH1583" s="132"/>
      <c r="AI1583" s="132"/>
      <c r="AJ1583" s="132"/>
      <c r="AK1583" s="132"/>
      <c r="AL1583" s="132"/>
      <c r="AM1583" s="132"/>
      <c r="AN1583" s="132"/>
      <c r="AO1583" s="132"/>
      <c r="AP1583" s="132"/>
      <c r="AQ1583" s="132"/>
      <c r="AR1583" s="132"/>
      <c r="AS1583" s="132"/>
      <c r="AT1583" s="132"/>
      <c r="AU1583" s="132"/>
      <c r="AV1583" s="132"/>
      <c r="AW1583" s="132"/>
      <c r="AX1583" s="132"/>
      <c r="AY1583" s="132"/>
      <c r="AZ1583" s="132"/>
      <c r="BA1583" s="132"/>
      <c r="BB1583" s="132"/>
      <c r="BC1583" s="132"/>
      <c r="BD1583" s="132"/>
      <c r="BE1583" s="132"/>
      <c r="BF1583" s="132"/>
      <c r="BG1583" s="132"/>
      <c r="BH1583" s="132"/>
      <c r="BI1583" s="132"/>
      <c r="BJ1583" s="132"/>
      <c r="BK1583" s="132"/>
      <c r="BL1583" s="132"/>
      <c r="BM1583" s="132"/>
      <c r="BN1583" s="132"/>
      <c r="BO1583" s="132"/>
    </row>
    <row r="1584" spans="1:67" s="269" customFormat="1" ht="75" customHeight="1" x14ac:dyDescent="0.2">
      <c r="A1584" s="305">
        <v>382</v>
      </c>
      <c r="B1584" s="310" t="s">
        <v>2104</v>
      </c>
      <c r="C1584" s="311"/>
      <c r="D1584" s="308" t="s">
        <v>107</v>
      </c>
      <c r="E1584" s="308"/>
      <c r="F1584" s="308"/>
      <c r="G1584" s="308"/>
      <c r="H1584" s="308"/>
      <c r="I1584" s="282" t="s">
        <v>2105</v>
      </c>
      <c r="J1584" s="283" t="s">
        <v>1020</v>
      </c>
      <c r="K1584" s="284">
        <v>35000</v>
      </c>
      <c r="L1584" s="306" t="s">
        <v>111</v>
      </c>
      <c r="M1584" s="261" t="s">
        <v>2106</v>
      </c>
      <c r="N1584" s="132"/>
      <c r="O1584" s="132"/>
      <c r="P1584" s="132"/>
      <c r="Q1584" s="132"/>
      <c r="R1584" s="132"/>
      <c r="S1584" s="132"/>
      <c r="T1584" s="132"/>
      <c r="U1584" s="132"/>
      <c r="V1584" s="132"/>
      <c r="W1584" s="132"/>
      <c r="X1584" s="132"/>
      <c r="Y1584" s="132"/>
      <c r="Z1584" s="132"/>
      <c r="AA1584" s="132"/>
      <c r="AB1584" s="132"/>
      <c r="AC1584" s="132"/>
      <c r="AD1584" s="132"/>
      <c r="AE1584" s="132"/>
      <c r="AF1584" s="132"/>
      <c r="AG1584" s="132"/>
      <c r="AH1584" s="132"/>
      <c r="AI1584" s="132"/>
      <c r="AJ1584" s="132"/>
      <c r="AK1584" s="132"/>
      <c r="AL1584" s="132"/>
      <c r="AM1584" s="132"/>
      <c r="AN1584" s="132"/>
      <c r="AO1584" s="132"/>
      <c r="AP1584" s="132"/>
      <c r="AQ1584" s="132"/>
      <c r="AR1584" s="132"/>
      <c r="AS1584" s="132"/>
      <c r="AT1584" s="132"/>
      <c r="AU1584" s="132"/>
      <c r="AV1584" s="132"/>
      <c r="AW1584" s="132"/>
      <c r="AX1584" s="132"/>
      <c r="AY1584" s="132"/>
      <c r="AZ1584" s="132"/>
      <c r="BA1584" s="132"/>
      <c r="BB1584" s="132"/>
      <c r="BC1584" s="132"/>
      <c r="BD1584" s="132"/>
      <c r="BE1584" s="132"/>
      <c r="BF1584" s="132"/>
      <c r="BG1584" s="132"/>
      <c r="BH1584" s="132"/>
      <c r="BI1584" s="132"/>
      <c r="BJ1584" s="132"/>
      <c r="BK1584" s="132"/>
      <c r="BL1584" s="132"/>
      <c r="BM1584" s="132"/>
      <c r="BN1584" s="132"/>
      <c r="BO1584" s="132"/>
    </row>
    <row r="1585" spans="1:67" s="269" customFormat="1" ht="75" customHeight="1" x14ac:dyDescent="0.2">
      <c r="A1585" s="305">
        <v>383</v>
      </c>
      <c r="B1585" s="310" t="s">
        <v>2107</v>
      </c>
      <c r="C1585" s="311"/>
      <c r="D1585" s="308" t="s">
        <v>107</v>
      </c>
      <c r="E1585" s="308"/>
      <c r="F1585" s="308"/>
      <c r="G1585" s="308"/>
      <c r="H1585" s="308"/>
      <c r="I1585" s="282" t="s">
        <v>2105</v>
      </c>
      <c r="J1585" s="283" t="s">
        <v>1020</v>
      </c>
      <c r="K1585" s="284">
        <v>25000</v>
      </c>
      <c r="L1585" s="306" t="s">
        <v>111</v>
      </c>
      <c r="M1585" s="261" t="s">
        <v>2108</v>
      </c>
      <c r="N1585" s="132"/>
      <c r="O1585" s="132"/>
      <c r="P1585" s="132"/>
      <c r="Q1585" s="132"/>
      <c r="R1585" s="132"/>
      <c r="S1585" s="132"/>
      <c r="T1585" s="132"/>
      <c r="U1585" s="132"/>
      <c r="V1585" s="132"/>
      <c r="W1585" s="132"/>
      <c r="X1585" s="132"/>
      <c r="Y1585" s="132"/>
      <c r="Z1585" s="132"/>
      <c r="AA1585" s="132"/>
      <c r="AB1585" s="132"/>
      <c r="AC1585" s="132"/>
      <c r="AD1585" s="132"/>
      <c r="AE1585" s="132"/>
      <c r="AF1585" s="132"/>
      <c r="AG1585" s="132"/>
      <c r="AH1585" s="132"/>
      <c r="AI1585" s="132"/>
      <c r="AJ1585" s="132"/>
      <c r="AK1585" s="132"/>
      <c r="AL1585" s="132"/>
      <c r="AM1585" s="132"/>
      <c r="AN1585" s="132"/>
      <c r="AO1585" s="132"/>
      <c r="AP1585" s="132"/>
      <c r="AQ1585" s="132"/>
      <c r="AR1585" s="132"/>
      <c r="AS1585" s="132"/>
      <c r="AT1585" s="132"/>
      <c r="AU1585" s="132"/>
      <c r="AV1585" s="132"/>
      <c r="AW1585" s="132"/>
      <c r="AX1585" s="132"/>
      <c r="AY1585" s="132"/>
      <c r="AZ1585" s="132"/>
      <c r="BA1585" s="132"/>
      <c r="BB1585" s="132"/>
      <c r="BC1585" s="132"/>
      <c r="BD1585" s="132"/>
      <c r="BE1585" s="132"/>
      <c r="BF1585" s="132"/>
      <c r="BG1585" s="132"/>
      <c r="BH1585" s="132"/>
      <c r="BI1585" s="132"/>
      <c r="BJ1585" s="132"/>
      <c r="BK1585" s="132"/>
      <c r="BL1585" s="132"/>
      <c r="BM1585" s="132"/>
      <c r="BN1585" s="132"/>
      <c r="BO1585" s="132"/>
    </row>
    <row r="1586" spans="1:67" s="269" customFormat="1" ht="75" customHeight="1" x14ac:dyDescent="0.2">
      <c r="A1586" s="305">
        <v>384</v>
      </c>
      <c r="B1586" s="310" t="s">
        <v>2109</v>
      </c>
      <c r="C1586" s="311"/>
      <c r="D1586" s="308" t="s">
        <v>107</v>
      </c>
      <c r="E1586" s="308"/>
      <c r="F1586" s="308"/>
      <c r="G1586" s="308"/>
      <c r="H1586" s="308"/>
      <c r="I1586" s="282" t="s">
        <v>2110</v>
      </c>
      <c r="J1586" s="283" t="s">
        <v>1020</v>
      </c>
      <c r="K1586" s="284">
        <v>30000</v>
      </c>
      <c r="L1586" s="306" t="s">
        <v>111</v>
      </c>
      <c r="M1586" s="261" t="s">
        <v>2111</v>
      </c>
      <c r="N1586" s="132"/>
      <c r="O1586" s="132"/>
      <c r="P1586" s="132"/>
      <c r="Q1586" s="132"/>
      <c r="R1586" s="132"/>
      <c r="S1586" s="132"/>
      <c r="T1586" s="132"/>
      <c r="U1586" s="132"/>
      <c r="V1586" s="132"/>
      <c r="W1586" s="132"/>
      <c r="X1586" s="132"/>
      <c r="Y1586" s="132"/>
      <c r="Z1586" s="132"/>
      <c r="AA1586" s="132"/>
      <c r="AB1586" s="132"/>
      <c r="AC1586" s="132"/>
      <c r="AD1586" s="132"/>
      <c r="AE1586" s="132"/>
      <c r="AF1586" s="132"/>
      <c r="AG1586" s="132"/>
      <c r="AH1586" s="132"/>
      <c r="AI1586" s="132"/>
      <c r="AJ1586" s="132"/>
      <c r="AK1586" s="132"/>
      <c r="AL1586" s="132"/>
      <c r="AM1586" s="132"/>
      <c r="AN1586" s="132"/>
      <c r="AO1586" s="132"/>
      <c r="AP1586" s="132"/>
      <c r="AQ1586" s="132"/>
      <c r="AR1586" s="132"/>
      <c r="AS1586" s="132"/>
      <c r="AT1586" s="132"/>
      <c r="AU1586" s="132"/>
      <c r="AV1586" s="132"/>
      <c r="AW1586" s="132"/>
      <c r="AX1586" s="132"/>
      <c r="AY1586" s="132"/>
      <c r="AZ1586" s="132"/>
      <c r="BA1586" s="132"/>
      <c r="BB1586" s="132"/>
      <c r="BC1586" s="132"/>
      <c r="BD1586" s="132"/>
      <c r="BE1586" s="132"/>
      <c r="BF1586" s="132"/>
      <c r="BG1586" s="132"/>
      <c r="BH1586" s="132"/>
      <c r="BI1586" s="132"/>
      <c r="BJ1586" s="132"/>
      <c r="BK1586" s="132"/>
      <c r="BL1586" s="132"/>
      <c r="BM1586" s="132"/>
      <c r="BN1586" s="132"/>
      <c r="BO1586" s="132"/>
    </row>
    <row r="1587" spans="1:67" s="269" customFormat="1" ht="75" customHeight="1" x14ac:dyDescent="0.2">
      <c r="A1587" s="305">
        <v>385</v>
      </c>
      <c r="B1587" s="310" t="s">
        <v>2112</v>
      </c>
      <c r="C1587" s="311"/>
      <c r="D1587" s="308" t="s">
        <v>107</v>
      </c>
      <c r="E1587" s="308"/>
      <c r="F1587" s="308"/>
      <c r="G1587" s="308"/>
      <c r="H1587" s="308"/>
      <c r="I1587" s="282" t="s">
        <v>2105</v>
      </c>
      <c r="J1587" s="283" t="s">
        <v>1020</v>
      </c>
      <c r="K1587" s="284">
        <v>20000</v>
      </c>
      <c r="L1587" s="306" t="s">
        <v>111</v>
      </c>
      <c r="M1587" s="261" t="s">
        <v>2113</v>
      </c>
      <c r="N1587" s="132"/>
      <c r="O1587" s="132"/>
      <c r="P1587" s="132"/>
      <c r="Q1587" s="132"/>
      <c r="R1587" s="132"/>
      <c r="S1587" s="132"/>
      <c r="T1587" s="132"/>
      <c r="U1587" s="132"/>
      <c r="V1587" s="132"/>
      <c r="W1587" s="132"/>
      <c r="X1587" s="132"/>
      <c r="Y1587" s="132"/>
      <c r="Z1587" s="132"/>
      <c r="AA1587" s="132"/>
      <c r="AB1587" s="132"/>
      <c r="AC1587" s="132"/>
      <c r="AD1587" s="132"/>
      <c r="AE1587" s="132"/>
      <c r="AF1587" s="132"/>
      <c r="AG1587" s="132"/>
      <c r="AH1587" s="132"/>
      <c r="AI1587" s="132"/>
      <c r="AJ1587" s="132"/>
      <c r="AK1587" s="132"/>
      <c r="AL1587" s="132"/>
      <c r="AM1587" s="132"/>
      <c r="AN1587" s="132"/>
      <c r="AO1587" s="132"/>
      <c r="AP1587" s="132"/>
      <c r="AQ1587" s="132"/>
      <c r="AR1587" s="132"/>
      <c r="AS1587" s="132"/>
      <c r="AT1587" s="132"/>
      <c r="AU1587" s="132"/>
      <c r="AV1587" s="132"/>
      <c r="AW1587" s="132"/>
      <c r="AX1587" s="132"/>
      <c r="AY1587" s="132"/>
      <c r="AZ1587" s="132"/>
      <c r="BA1587" s="132"/>
      <c r="BB1587" s="132"/>
      <c r="BC1587" s="132"/>
      <c r="BD1587" s="132"/>
      <c r="BE1587" s="132"/>
      <c r="BF1587" s="132"/>
      <c r="BG1587" s="132"/>
      <c r="BH1587" s="132"/>
      <c r="BI1587" s="132"/>
      <c r="BJ1587" s="132"/>
      <c r="BK1587" s="132"/>
      <c r="BL1587" s="132"/>
      <c r="BM1587" s="132"/>
      <c r="BN1587" s="132"/>
      <c r="BO1587" s="132"/>
    </row>
    <row r="1588" spans="1:67" s="269" customFormat="1" ht="28.5" customHeight="1" x14ac:dyDescent="0.2">
      <c r="A1588" s="163">
        <v>386</v>
      </c>
      <c r="B1588" s="293" t="s">
        <v>2114</v>
      </c>
      <c r="C1588" s="294"/>
      <c r="D1588" s="166" t="s">
        <v>107</v>
      </c>
      <c r="E1588" s="166"/>
      <c r="F1588" s="166"/>
      <c r="G1588" s="166"/>
      <c r="H1588" s="166"/>
      <c r="I1588" s="276" t="s">
        <v>2115</v>
      </c>
      <c r="J1588" s="277" t="s">
        <v>1020</v>
      </c>
      <c r="K1588" s="278">
        <f>25000*60%</f>
        <v>15000</v>
      </c>
      <c r="L1588" s="171" t="s">
        <v>111</v>
      </c>
      <c r="M1588" s="171" t="s">
        <v>2116</v>
      </c>
      <c r="N1588" s="132"/>
      <c r="O1588" s="132"/>
      <c r="P1588" s="132"/>
      <c r="Q1588" s="132"/>
      <c r="R1588" s="132"/>
      <c r="S1588" s="132"/>
      <c r="T1588" s="132"/>
      <c r="U1588" s="132"/>
      <c r="V1588" s="132"/>
      <c r="W1588" s="132"/>
      <c r="X1588" s="132"/>
      <c r="Y1588" s="132"/>
      <c r="Z1588" s="132"/>
      <c r="AA1588" s="132"/>
      <c r="AB1588" s="132"/>
      <c r="AC1588" s="132"/>
      <c r="AD1588" s="132"/>
      <c r="AE1588" s="132"/>
      <c r="AF1588" s="132"/>
      <c r="AG1588" s="132"/>
      <c r="AH1588" s="132"/>
      <c r="AI1588" s="132"/>
      <c r="AJ1588" s="132"/>
      <c r="AK1588" s="132"/>
      <c r="AL1588" s="132"/>
      <c r="AM1588" s="132"/>
      <c r="AN1588" s="132"/>
      <c r="AO1588" s="132"/>
      <c r="AP1588" s="132"/>
      <c r="AQ1588" s="132"/>
      <c r="AR1588" s="132"/>
      <c r="AS1588" s="132"/>
      <c r="AT1588" s="132"/>
      <c r="AU1588" s="132"/>
      <c r="AV1588" s="132"/>
      <c r="AW1588" s="132"/>
      <c r="AX1588" s="132"/>
      <c r="AY1588" s="132"/>
      <c r="AZ1588" s="132"/>
      <c r="BA1588" s="132"/>
      <c r="BB1588" s="132"/>
      <c r="BC1588" s="132"/>
      <c r="BD1588" s="132"/>
      <c r="BE1588" s="132"/>
      <c r="BF1588" s="132"/>
      <c r="BG1588" s="132"/>
      <c r="BH1588" s="132"/>
      <c r="BI1588" s="132"/>
      <c r="BJ1588" s="132"/>
      <c r="BK1588" s="132"/>
      <c r="BL1588" s="132"/>
      <c r="BM1588" s="132"/>
      <c r="BN1588" s="132"/>
      <c r="BO1588" s="132"/>
    </row>
    <row r="1589" spans="1:67" s="269" customFormat="1" ht="27.75" customHeight="1" x14ac:dyDescent="0.2">
      <c r="A1589" s="173"/>
      <c r="B1589" s="288"/>
      <c r="C1589" s="289"/>
      <c r="D1589" s="176"/>
      <c r="E1589" s="176"/>
      <c r="F1589" s="176"/>
      <c r="G1589" s="176"/>
      <c r="H1589" s="176"/>
      <c r="I1589" s="184" t="s">
        <v>2117</v>
      </c>
      <c r="J1589" s="272" t="s">
        <v>1020</v>
      </c>
      <c r="K1589" s="214">
        <f>25000*20%</f>
        <v>5000</v>
      </c>
      <c r="L1589" s="181"/>
      <c r="M1589" s="181"/>
      <c r="N1589" s="132"/>
      <c r="O1589" s="132"/>
      <c r="P1589" s="132"/>
      <c r="Q1589" s="132"/>
      <c r="R1589" s="132"/>
      <c r="S1589" s="132"/>
      <c r="T1589" s="132"/>
      <c r="U1589" s="132"/>
      <c r="V1589" s="132"/>
      <c r="W1589" s="132"/>
      <c r="X1589" s="132"/>
      <c r="Y1589" s="132"/>
      <c r="Z1589" s="132"/>
      <c r="AA1589" s="132"/>
      <c r="AB1589" s="132"/>
      <c r="AC1589" s="132"/>
      <c r="AD1589" s="132"/>
      <c r="AE1589" s="132"/>
      <c r="AF1589" s="132"/>
      <c r="AG1589" s="132"/>
      <c r="AH1589" s="132"/>
      <c r="AI1589" s="132"/>
      <c r="AJ1589" s="132"/>
      <c r="AK1589" s="132"/>
      <c r="AL1589" s="132"/>
      <c r="AM1589" s="132"/>
      <c r="AN1589" s="132"/>
      <c r="AO1589" s="132"/>
      <c r="AP1589" s="132"/>
      <c r="AQ1589" s="132"/>
      <c r="AR1589" s="132"/>
      <c r="AS1589" s="132"/>
      <c r="AT1589" s="132"/>
      <c r="AU1589" s="132"/>
      <c r="AV1589" s="132"/>
      <c r="AW1589" s="132"/>
      <c r="AX1589" s="132"/>
      <c r="AY1589" s="132"/>
      <c r="AZ1589" s="132"/>
      <c r="BA1589" s="132"/>
      <c r="BB1589" s="132"/>
      <c r="BC1589" s="132"/>
      <c r="BD1589" s="132"/>
      <c r="BE1589" s="132"/>
      <c r="BF1589" s="132"/>
      <c r="BG1589" s="132"/>
      <c r="BH1589" s="132"/>
      <c r="BI1589" s="132"/>
      <c r="BJ1589" s="132"/>
      <c r="BK1589" s="132"/>
      <c r="BL1589" s="132"/>
      <c r="BM1589" s="132"/>
      <c r="BN1589" s="132"/>
      <c r="BO1589" s="132"/>
    </row>
    <row r="1590" spans="1:67" s="269" customFormat="1" ht="28.5" customHeight="1" x14ac:dyDescent="0.2">
      <c r="A1590" s="173"/>
      <c r="B1590" s="288"/>
      <c r="C1590" s="289"/>
      <c r="D1590" s="176"/>
      <c r="E1590" s="176"/>
      <c r="F1590" s="176"/>
      <c r="G1590" s="176"/>
      <c r="H1590" s="176"/>
      <c r="I1590" s="184" t="s">
        <v>2118</v>
      </c>
      <c r="J1590" s="272" t="s">
        <v>1020</v>
      </c>
      <c r="K1590" s="214">
        <f>25000*20%</f>
        <v>5000</v>
      </c>
      <c r="L1590" s="181"/>
      <c r="M1590" s="181"/>
      <c r="N1590" s="132"/>
      <c r="O1590" s="132"/>
      <c r="P1590" s="132"/>
      <c r="Q1590" s="132"/>
      <c r="R1590" s="132"/>
      <c r="S1590" s="132"/>
      <c r="T1590" s="132"/>
      <c r="U1590" s="132"/>
      <c r="V1590" s="132"/>
      <c r="W1590" s="132"/>
      <c r="X1590" s="132"/>
      <c r="Y1590" s="132"/>
      <c r="Z1590" s="132"/>
      <c r="AA1590" s="132"/>
      <c r="AB1590" s="132"/>
      <c r="AC1590" s="132"/>
      <c r="AD1590" s="132"/>
      <c r="AE1590" s="132"/>
      <c r="AF1590" s="132"/>
      <c r="AG1590" s="132"/>
      <c r="AH1590" s="132"/>
      <c r="AI1590" s="132"/>
      <c r="AJ1590" s="132"/>
      <c r="AK1590" s="132"/>
      <c r="AL1590" s="132"/>
      <c r="AM1590" s="132"/>
      <c r="AN1590" s="132"/>
      <c r="AO1590" s="132"/>
      <c r="AP1590" s="132"/>
      <c r="AQ1590" s="132"/>
      <c r="AR1590" s="132"/>
      <c r="AS1590" s="132"/>
      <c r="AT1590" s="132"/>
      <c r="AU1590" s="132"/>
      <c r="AV1590" s="132"/>
      <c r="AW1590" s="132"/>
      <c r="AX1590" s="132"/>
      <c r="AY1590" s="132"/>
      <c r="AZ1590" s="132"/>
      <c r="BA1590" s="132"/>
      <c r="BB1590" s="132"/>
      <c r="BC1590" s="132"/>
      <c r="BD1590" s="132"/>
      <c r="BE1590" s="132"/>
      <c r="BF1590" s="132"/>
      <c r="BG1590" s="132"/>
      <c r="BH1590" s="132"/>
      <c r="BI1590" s="132"/>
      <c r="BJ1590" s="132"/>
      <c r="BK1590" s="132"/>
      <c r="BL1590" s="132"/>
      <c r="BM1590" s="132"/>
      <c r="BN1590" s="132"/>
      <c r="BO1590" s="132"/>
    </row>
    <row r="1591" spans="1:67" s="269" customFormat="1" ht="29.25" customHeight="1" x14ac:dyDescent="0.2">
      <c r="A1591" s="185"/>
      <c r="B1591" s="290"/>
      <c r="C1591" s="291"/>
      <c r="D1591" s="188"/>
      <c r="E1591" s="188"/>
      <c r="F1591" s="188"/>
      <c r="G1591" s="188"/>
      <c r="H1591" s="188"/>
      <c r="I1591" s="189"/>
      <c r="J1591" s="381"/>
      <c r="K1591" s="292">
        <f>SUM(K1588:K1590)</f>
        <v>25000</v>
      </c>
      <c r="L1591" s="193"/>
      <c r="M1591" s="193"/>
      <c r="N1591" s="132"/>
      <c r="O1591" s="132"/>
      <c r="P1591" s="132"/>
      <c r="Q1591" s="132"/>
      <c r="R1591" s="132"/>
      <c r="S1591" s="132"/>
      <c r="T1591" s="132"/>
      <c r="U1591" s="132"/>
      <c r="V1591" s="132"/>
      <c r="W1591" s="132"/>
      <c r="X1591" s="132"/>
      <c r="Y1591" s="132"/>
      <c r="Z1591" s="132"/>
      <c r="AA1591" s="132"/>
      <c r="AB1591" s="132"/>
      <c r="AC1591" s="132"/>
      <c r="AD1591" s="132"/>
      <c r="AE1591" s="132"/>
      <c r="AF1591" s="132"/>
      <c r="AG1591" s="132"/>
      <c r="AH1591" s="132"/>
      <c r="AI1591" s="132"/>
      <c r="AJ1591" s="132"/>
      <c r="AK1591" s="132"/>
      <c r="AL1591" s="132"/>
      <c r="AM1591" s="132"/>
      <c r="AN1591" s="132"/>
      <c r="AO1591" s="132"/>
      <c r="AP1591" s="132"/>
      <c r="AQ1591" s="132"/>
      <c r="AR1591" s="132"/>
      <c r="AS1591" s="132"/>
      <c r="AT1591" s="132"/>
      <c r="AU1591" s="132"/>
      <c r="AV1591" s="132"/>
      <c r="AW1591" s="132"/>
      <c r="AX1591" s="132"/>
      <c r="AY1591" s="132"/>
      <c r="AZ1591" s="132"/>
      <c r="BA1591" s="132"/>
      <c r="BB1591" s="132"/>
      <c r="BC1591" s="132"/>
      <c r="BD1591" s="132"/>
      <c r="BE1591" s="132"/>
      <c r="BF1591" s="132"/>
      <c r="BG1591" s="132"/>
      <c r="BH1591" s="132"/>
      <c r="BI1591" s="132"/>
      <c r="BJ1591" s="132"/>
      <c r="BK1591" s="132"/>
      <c r="BL1591" s="132"/>
      <c r="BM1591" s="132"/>
      <c r="BN1591" s="132"/>
      <c r="BO1591" s="132"/>
    </row>
    <row r="1592" spans="1:67" s="269" customFormat="1" ht="29.25" customHeight="1" x14ac:dyDescent="0.2">
      <c r="A1592" s="163">
        <v>387</v>
      </c>
      <c r="B1592" s="164" t="s">
        <v>2119</v>
      </c>
      <c r="C1592" s="165"/>
      <c r="D1592" s="166" t="s">
        <v>107</v>
      </c>
      <c r="E1592" s="166"/>
      <c r="F1592" s="166"/>
      <c r="G1592" s="166"/>
      <c r="H1592" s="248"/>
      <c r="I1592" s="453" t="s">
        <v>2120</v>
      </c>
      <c r="J1592" s="454" t="s">
        <v>1020</v>
      </c>
      <c r="K1592" s="455">
        <f>3500*70%</f>
        <v>2450</v>
      </c>
      <c r="L1592" s="195" t="s">
        <v>111</v>
      </c>
      <c r="M1592" s="171" t="s">
        <v>2121</v>
      </c>
      <c r="N1592" s="132"/>
      <c r="O1592" s="132"/>
      <c r="P1592" s="132"/>
      <c r="Q1592" s="132"/>
      <c r="R1592" s="132"/>
      <c r="S1592" s="132"/>
      <c r="T1592" s="132"/>
      <c r="U1592" s="132"/>
      <c r="V1592" s="132"/>
      <c r="W1592" s="132"/>
      <c r="X1592" s="132"/>
      <c r="Y1592" s="132"/>
      <c r="Z1592" s="132"/>
      <c r="AA1592" s="132"/>
      <c r="AB1592" s="132"/>
      <c r="AC1592" s="132"/>
      <c r="AD1592" s="132"/>
      <c r="AE1592" s="132"/>
      <c r="AF1592" s="132"/>
      <c r="AG1592" s="132"/>
      <c r="AH1592" s="132"/>
      <c r="AI1592" s="132"/>
      <c r="AJ1592" s="132"/>
      <c r="AK1592" s="132"/>
      <c r="AL1592" s="132"/>
      <c r="AM1592" s="132"/>
      <c r="AN1592" s="132"/>
      <c r="AO1592" s="132"/>
      <c r="AP1592" s="132"/>
      <c r="AQ1592" s="132"/>
      <c r="AR1592" s="132"/>
      <c r="AS1592" s="132"/>
      <c r="AT1592" s="132"/>
      <c r="AU1592" s="132"/>
      <c r="AV1592" s="132"/>
      <c r="AW1592" s="132"/>
      <c r="AX1592" s="132"/>
      <c r="AY1592" s="132"/>
      <c r="AZ1592" s="132"/>
      <c r="BA1592" s="132"/>
      <c r="BB1592" s="132"/>
    </row>
    <row r="1593" spans="1:67" s="269" customFormat="1" ht="29.25" customHeight="1" x14ac:dyDescent="0.2">
      <c r="A1593" s="173"/>
      <c r="B1593" s="174"/>
      <c r="C1593" s="175"/>
      <c r="D1593" s="176"/>
      <c r="E1593" s="176"/>
      <c r="F1593" s="176"/>
      <c r="G1593" s="176"/>
      <c r="H1593" s="250"/>
      <c r="I1593" s="456" t="s">
        <v>2064</v>
      </c>
      <c r="J1593" s="457" t="s">
        <v>1020</v>
      </c>
      <c r="K1593" s="458">
        <f>3500*5%</f>
        <v>175</v>
      </c>
      <c r="L1593" s="197"/>
      <c r="M1593" s="181"/>
      <c r="N1593" s="132"/>
      <c r="O1593" s="132"/>
      <c r="P1593" s="132"/>
      <c r="Q1593" s="132"/>
      <c r="R1593" s="132"/>
      <c r="S1593" s="132"/>
      <c r="T1593" s="132"/>
      <c r="U1593" s="132"/>
      <c r="V1593" s="132"/>
      <c r="W1593" s="132"/>
      <c r="X1593" s="132"/>
      <c r="Y1593" s="132"/>
      <c r="Z1593" s="132"/>
      <c r="AA1593" s="132"/>
      <c r="AB1593" s="132"/>
      <c r="AC1593" s="132"/>
      <c r="AD1593" s="132"/>
      <c r="AE1593" s="132"/>
      <c r="AF1593" s="132"/>
      <c r="AG1593" s="132"/>
      <c r="AH1593" s="132"/>
      <c r="AI1593" s="132"/>
      <c r="AJ1593" s="132"/>
      <c r="AK1593" s="132"/>
      <c r="AL1593" s="132"/>
      <c r="AM1593" s="132"/>
      <c r="AN1593" s="132"/>
      <c r="AO1593" s="132"/>
      <c r="AP1593" s="132"/>
      <c r="AQ1593" s="132"/>
      <c r="AR1593" s="132"/>
      <c r="AS1593" s="132"/>
      <c r="AT1593" s="132"/>
      <c r="AU1593" s="132"/>
      <c r="AV1593" s="132"/>
      <c r="AW1593" s="132"/>
      <c r="AX1593" s="132"/>
      <c r="AY1593" s="132"/>
      <c r="AZ1593" s="132"/>
      <c r="BA1593" s="132"/>
      <c r="BB1593" s="132"/>
    </row>
    <row r="1594" spans="1:67" s="269" customFormat="1" ht="29.25" customHeight="1" x14ac:dyDescent="0.2">
      <c r="A1594" s="173"/>
      <c r="B1594" s="174"/>
      <c r="C1594" s="175"/>
      <c r="D1594" s="176"/>
      <c r="E1594" s="176"/>
      <c r="F1594" s="176"/>
      <c r="G1594" s="176"/>
      <c r="H1594" s="250"/>
      <c r="I1594" s="456" t="s">
        <v>2122</v>
      </c>
      <c r="J1594" s="457" t="s">
        <v>1020</v>
      </c>
      <c r="K1594" s="458">
        <f t="shared" ref="K1594:K1598" si="37">3500*5%</f>
        <v>175</v>
      </c>
      <c r="L1594" s="197"/>
      <c r="M1594" s="181"/>
      <c r="N1594" s="132"/>
      <c r="O1594" s="132"/>
      <c r="P1594" s="132"/>
      <c r="Q1594" s="132"/>
      <c r="R1594" s="132"/>
      <c r="S1594" s="132"/>
      <c r="T1594" s="132"/>
      <c r="U1594" s="132"/>
      <c r="V1594" s="132"/>
      <c r="W1594" s="132"/>
      <c r="X1594" s="132"/>
      <c r="Y1594" s="132"/>
      <c r="Z1594" s="132"/>
      <c r="AA1594" s="132"/>
      <c r="AB1594" s="132"/>
      <c r="AC1594" s="132"/>
      <c r="AD1594" s="132"/>
      <c r="AE1594" s="132"/>
      <c r="AF1594" s="132"/>
      <c r="AG1594" s="132"/>
      <c r="AH1594" s="132"/>
      <c r="AI1594" s="132"/>
      <c r="AJ1594" s="132"/>
      <c r="AK1594" s="132"/>
      <c r="AL1594" s="132"/>
      <c r="AM1594" s="132"/>
      <c r="AN1594" s="132"/>
      <c r="AO1594" s="132"/>
      <c r="AP1594" s="132"/>
      <c r="AQ1594" s="132"/>
      <c r="AR1594" s="132"/>
      <c r="AS1594" s="132"/>
      <c r="AT1594" s="132"/>
      <c r="AU1594" s="132"/>
      <c r="AV1594" s="132"/>
      <c r="AW1594" s="132"/>
      <c r="AX1594" s="132"/>
      <c r="AY1594" s="132"/>
      <c r="AZ1594" s="132"/>
      <c r="BA1594" s="132"/>
      <c r="BB1594" s="132"/>
    </row>
    <row r="1595" spans="1:67" s="269" customFormat="1" ht="29.25" customHeight="1" x14ac:dyDescent="0.2">
      <c r="A1595" s="173"/>
      <c r="B1595" s="174"/>
      <c r="C1595" s="175"/>
      <c r="D1595" s="176"/>
      <c r="E1595" s="176"/>
      <c r="F1595" s="176"/>
      <c r="G1595" s="176"/>
      <c r="H1595" s="250"/>
      <c r="I1595" s="456" t="s">
        <v>2123</v>
      </c>
      <c r="J1595" s="457" t="s">
        <v>1020</v>
      </c>
      <c r="K1595" s="458">
        <f t="shared" si="37"/>
        <v>175</v>
      </c>
      <c r="L1595" s="197"/>
      <c r="M1595" s="181"/>
      <c r="N1595" s="132"/>
      <c r="O1595" s="132"/>
      <c r="P1595" s="132"/>
      <c r="Q1595" s="132"/>
      <c r="R1595" s="132"/>
      <c r="S1595" s="132"/>
      <c r="T1595" s="132"/>
      <c r="U1595" s="132"/>
      <c r="V1595" s="132"/>
      <c r="W1595" s="132"/>
      <c r="X1595" s="132"/>
      <c r="Y1595" s="132"/>
      <c r="Z1595" s="132"/>
      <c r="AA1595" s="132"/>
      <c r="AB1595" s="132"/>
      <c r="AC1595" s="132"/>
      <c r="AD1595" s="132"/>
      <c r="AE1595" s="132"/>
      <c r="AF1595" s="132"/>
      <c r="AG1595" s="132"/>
      <c r="AH1595" s="132"/>
      <c r="AI1595" s="132"/>
      <c r="AJ1595" s="132"/>
      <c r="AK1595" s="132"/>
      <c r="AL1595" s="132"/>
      <c r="AM1595" s="132"/>
      <c r="AN1595" s="132"/>
      <c r="AO1595" s="132"/>
      <c r="AP1595" s="132"/>
      <c r="AQ1595" s="132"/>
      <c r="AR1595" s="132"/>
      <c r="AS1595" s="132"/>
      <c r="AT1595" s="132"/>
      <c r="AU1595" s="132"/>
      <c r="AV1595" s="132"/>
      <c r="AW1595" s="132"/>
      <c r="AX1595" s="132"/>
      <c r="AY1595" s="132"/>
      <c r="AZ1595" s="132"/>
      <c r="BA1595" s="132"/>
      <c r="BB1595" s="132"/>
    </row>
    <row r="1596" spans="1:67" s="269" customFormat="1" ht="29.25" customHeight="1" x14ac:dyDescent="0.2">
      <c r="A1596" s="173"/>
      <c r="B1596" s="174"/>
      <c r="C1596" s="175"/>
      <c r="D1596" s="176"/>
      <c r="E1596" s="176"/>
      <c r="F1596" s="176"/>
      <c r="G1596" s="176"/>
      <c r="H1596" s="250"/>
      <c r="I1596" s="456" t="s">
        <v>2124</v>
      </c>
      <c r="J1596" s="457" t="s">
        <v>1020</v>
      </c>
      <c r="K1596" s="458">
        <f t="shared" si="37"/>
        <v>175</v>
      </c>
      <c r="L1596" s="197"/>
      <c r="M1596" s="181"/>
      <c r="N1596" s="132"/>
      <c r="O1596" s="132"/>
      <c r="P1596" s="132"/>
      <c r="Q1596" s="132"/>
      <c r="R1596" s="132"/>
      <c r="S1596" s="132"/>
      <c r="T1596" s="132"/>
      <c r="U1596" s="132"/>
      <c r="V1596" s="132"/>
      <c r="W1596" s="132"/>
      <c r="X1596" s="132"/>
      <c r="Y1596" s="132"/>
      <c r="Z1596" s="132"/>
      <c r="AA1596" s="132"/>
      <c r="AB1596" s="132"/>
      <c r="AC1596" s="132"/>
      <c r="AD1596" s="132"/>
      <c r="AE1596" s="132"/>
      <c r="AF1596" s="132"/>
      <c r="AG1596" s="132"/>
      <c r="AH1596" s="132"/>
      <c r="AI1596" s="132"/>
      <c r="AJ1596" s="132"/>
      <c r="AK1596" s="132"/>
      <c r="AL1596" s="132"/>
      <c r="AM1596" s="132"/>
      <c r="AN1596" s="132"/>
      <c r="AO1596" s="132"/>
      <c r="AP1596" s="132"/>
      <c r="AQ1596" s="132"/>
      <c r="AR1596" s="132"/>
      <c r="AS1596" s="132"/>
      <c r="AT1596" s="132"/>
      <c r="AU1596" s="132"/>
      <c r="AV1596" s="132"/>
      <c r="AW1596" s="132"/>
      <c r="AX1596" s="132"/>
      <c r="AY1596" s="132"/>
      <c r="AZ1596" s="132"/>
      <c r="BA1596" s="132"/>
      <c r="BB1596" s="132"/>
    </row>
    <row r="1597" spans="1:67" s="269" customFormat="1" ht="29.25" customHeight="1" x14ac:dyDescent="0.2">
      <c r="A1597" s="173"/>
      <c r="B1597" s="174"/>
      <c r="C1597" s="175"/>
      <c r="D1597" s="176"/>
      <c r="E1597" s="176"/>
      <c r="F1597" s="176"/>
      <c r="G1597" s="176"/>
      <c r="H1597" s="250"/>
      <c r="I1597" s="456" t="s">
        <v>1964</v>
      </c>
      <c r="J1597" s="457" t="s">
        <v>1020</v>
      </c>
      <c r="K1597" s="458">
        <f t="shared" si="37"/>
        <v>175</v>
      </c>
      <c r="L1597" s="197"/>
      <c r="M1597" s="181"/>
      <c r="N1597" s="132"/>
      <c r="O1597" s="132"/>
      <c r="P1597" s="132"/>
      <c r="Q1597" s="132"/>
      <c r="R1597" s="132"/>
      <c r="S1597" s="132"/>
      <c r="T1597" s="132"/>
      <c r="U1597" s="132"/>
      <c r="V1597" s="132"/>
      <c r="W1597" s="132"/>
      <c r="X1597" s="132"/>
      <c r="Y1597" s="132"/>
      <c r="Z1597" s="132"/>
      <c r="AA1597" s="132"/>
      <c r="AB1597" s="132"/>
      <c r="AC1597" s="132"/>
      <c r="AD1597" s="132"/>
      <c r="AE1597" s="132"/>
      <c r="AF1597" s="132"/>
      <c r="AG1597" s="132"/>
      <c r="AH1597" s="132"/>
      <c r="AI1597" s="132"/>
      <c r="AJ1597" s="132"/>
      <c r="AK1597" s="132"/>
      <c r="AL1597" s="132"/>
      <c r="AM1597" s="132"/>
      <c r="AN1597" s="132"/>
      <c r="AO1597" s="132"/>
      <c r="AP1597" s="132"/>
      <c r="AQ1597" s="132"/>
      <c r="AR1597" s="132"/>
      <c r="AS1597" s="132"/>
      <c r="AT1597" s="132"/>
      <c r="AU1597" s="132"/>
      <c r="AV1597" s="132"/>
      <c r="AW1597" s="132"/>
      <c r="AX1597" s="132"/>
      <c r="AY1597" s="132"/>
      <c r="AZ1597" s="132"/>
      <c r="BA1597" s="132"/>
      <c r="BB1597" s="132"/>
    </row>
    <row r="1598" spans="1:67" s="269" customFormat="1" ht="29.25" customHeight="1" x14ac:dyDescent="0.2">
      <c r="A1598" s="173"/>
      <c r="B1598" s="174"/>
      <c r="C1598" s="175"/>
      <c r="D1598" s="176"/>
      <c r="E1598" s="176"/>
      <c r="F1598" s="176"/>
      <c r="G1598" s="176"/>
      <c r="H1598" s="250"/>
      <c r="I1598" s="456" t="s">
        <v>2125</v>
      </c>
      <c r="J1598" s="457" t="s">
        <v>1020</v>
      </c>
      <c r="K1598" s="458">
        <f t="shared" si="37"/>
        <v>175</v>
      </c>
      <c r="L1598" s="197"/>
      <c r="M1598" s="181"/>
      <c r="N1598" s="132"/>
      <c r="O1598" s="132"/>
      <c r="P1598" s="132"/>
      <c r="Q1598" s="132"/>
      <c r="R1598" s="132"/>
      <c r="S1598" s="132"/>
      <c r="T1598" s="132"/>
      <c r="U1598" s="132"/>
      <c r="V1598" s="132"/>
      <c r="W1598" s="132"/>
      <c r="X1598" s="132"/>
      <c r="Y1598" s="132"/>
      <c r="Z1598" s="132"/>
      <c r="AA1598" s="132"/>
      <c r="AB1598" s="132"/>
      <c r="AC1598" s="132"/>
      <c r="AD1598" s="132"/>
      <c r="AE1598" s="132"/>
      <c r="AF1598" s="132"/>
      <c r="AG1598" s="132"/>
      <c r="AH1598" s="132"/>
      <c r="AI1598" s="132"/>
      <c r="AJ1598" s="132"/>
      <c r="AK1598" s="132"/>
      <c r="AL1598" s="132"/>
      <c r="AM1598" s="132"/>
      <c r="AN1598" s="132"/>
      <c r="AO1598" s="132"/>
      <c r="AP1598" s="132"/>
      <c r="AQ1598" s="132"/>
      <c r="AR1598" s="132"/>
      <c r="AS1598" s="132"/>
      <c r="AT1598" s="132"/>
      <c r="AU1598" s="132"/>
      <c r="AV1598" s="132"/>
      <c r="AW1598" s="132"/>
      <c r="AX1598" s="132"/>
      <c r="AY1598" s="132"/>
      <c r="AZ1598" s="132"/>
      <c r="BA1598" s="132"/>
      <c r="BB1598" s="132"/>
    </row>
    <row r="1599" spans="1:67" s="269" customFormat="1" ht="29.25" customHeight="1" x14ac:dyDescent="0.2">
      <c r="A1599" s="185"/>
      <c r="B1599" s="186"/>
      <c r="C1599" s="187"/>
      <c r="D1599" s="188"/>
      <c r="E1599" s="188"/>
      <c r="F1599" s="188"/>
      <c r="G1599" s="188"/>
      <c r="H1599" s="251"/>
      <c r="I1599" s="459"/>
      <c r="J1599" s="460"/>
      <c r="K1599" s="413">
        <f>SUM(K1592:K1598)</f>
        <v>3500</v>
      </c>
      <c r="L1599" s="205"/>
      <c r="M1599" s="193"/>
      <c r="N1599" s="132"/>
      <c r="O1599" s="132"/>
      <c r="P1599" s="132"/>
      <c r="Q1599" s="132"/>
      <c r="R1599" s="132"/>
      <c r="S1599" s="132"/>
      <c r="T1599" s="132"/>
      <c r="U1599" s="132"/>
      <c r="V1599" s="132"/>
      <c r="W1599" s="132"/>
      <c r="X1599" s="132"/>
      <c r="Y1599" s="132"/>
      <c r="Z1599" s="132"/>
      <c r="AA1599" s="132"/>
      <c r="AB1599" s="132"/>
      <c r="AC1599" s="132"/>
      <c r="AD1599" s="132"/>
      <c r="AE1599" s="132"/>
      <c r="AF1599" s="132"/>
      <c r="AG1599" s="132"/>
      <c r="AH1599" s="132"/>
      <c r="AI1599" s="132"/>
      <c r="AJ1599" s="132"/>
      <c r="AK1599" s="132"/>
      <c r="AL1599" s="132"/>
      <c r="AM1599" s="132"/>
      <c r="AN1599" s="132"/>
      <c r="AO1599" s="132"/>
      <c r="AP1599" s="132"/>
      <c r="AQ1599" s="132"/>
      <c r="AR1599" s="132"/>
      <c r="AS1599" s="132"/>
      <c r="AT1599" s="132"/>
      <c r="AU1599" s="132"/>
      <c r="AV1599" s="132"/>
      <c r="AW1599" s="132"/>
      <c r="AX1599" s="132"/>
      <c r="AY1599" s="132"/>
      <c r="AZ1599" s="132"/>
      <c r="BA1599" s="132"/>
      <c r="BB1599" s="132"/>
    </row>
    <row r="1600" spans="1:67" x14ac:dyDescent="0.2">
      <c r="A1600" s="173">
        <v>388</v>
      </c>
      <c r="B1600" s="174" t="s">
        <v>2126</v>
      </c>
      <c r="C1600" s="175"/>
      <c r="D1600" s="176" t="s">
        <v>107</v>
      </c>
      <c r="E1600" s="176"/>
      <c r="F1600" s="176"/>
      <c r="G1600" s="176"/>
      <c r="H1600" s="176" t="s">
        <v>137</v>
      </c>
      <c r="I1600" s="276" t="s">
        <v>2127</v>
      </c>
      <c r="J1600" s="304" t="s">
        <v>576</v>
      </c>
      <c r="K1600" s="243">
        <f>12000*75%</f>
        <v>9000</v>
      </c>
      <c r="L1600" s="180" t="s">
        <v>111</v>
      </c>
      <c r="M1600" s="181" t="s">
        <v>2128</v>
      </c>
    </row>
    <row r="1601" spans="1:13" x14ac:dyDescent="0.2">
      <c r="A1601" s="173"/>
      <c r="B1601" s="174"/>
      <c r="C1601" s="175"/>
      <c r="D1601" s="176"/>
      <c r="E1601" s="176"/>
      <c r="F1601" s="176"/>
      <c r="G1601" s="176"/>
      <c r="H1601" s="176"/>
      <c r="I1601" s="167" t="s">
        <v>2129</v>
      </c>
      <c r="J1601" s="168" t="s">
        <v>683</v>
      </c>
      <c r="K1601" s="230">
        <f>12000*15%</f>
        <v>1800</v>
      </c>
      <c r="L1601" s="180"/>
      <c r="M1601" s="181"/>
    </row>
    <row r="1602" spans="1:13" x14ac:dyDescent="0.2">
      <c r="A1602" s="173"/>
      <c r="B1602" s="174"/>
      <c r="C1602" s="175"/>
      <c r="D1602" s="176"/>
      <c r="E1602" s="176"/>
      <c r="F1602" s="176"/>
      <c r="G1602" s="176"/>
      <c r="H1602" s="176"/>
      <c r="I1602" s="184" t="s">
        <v>2130</v>
      </c>
      <c r="J1602" s="178" t="s">
        <v>576</v>
      </c>
      <c r="K1602" s="208">
        <f>12000*10%</f>
        <v>1200</v>
      </c>
      <c r="L1602" s="180"/>
      <c r="M1602" s="181"/>
    </row>
    <row r="1603" spans="1:13" x14ac:dyDescent="0.2">
      <c r="A1603" s="185"/>
      <c r="B1603" s="186"/>
      <c r="C1603" s="187"/>
      <c r="D1603" s="188"/>
      <c r="E1603" s="188"/>
      <c r="F1603" s="188"/>
      <c r="G1603" s="188"/>
      <c r="H1603" s="188"/>
      <c r="I1603" s="189"/>
      <c r="J1603" s="215"/>
      <c r="K1603" s="461">
        <f>SUM(K1600:K1602)</f>
        <v>12000</v>
      </c>
      <c r="L1603" s="205"/>
      <c r="M1603" s="193"/>
    </row>
    <row r="1604" spans="1:13" x14ac:dyDescent="0.2">
      <c r="A1604" s="163">
        <v>389</v>
      </c>
      <c r="B1604" s="164" t="s">
        <v>2131</v>
      </c>
      <c r="C1604" s="165"/>
      <c r="D1604" s="166" t="s">
        <v>107</v>
      </c>
      <c r="E1604" s="166"/>
      <c r="F1604" s="166"/>
      <c r="G1604" s="166"/>
      <c r="H1604" s="248" t="s">
        <v>164</v>
      </c>
      <c r="I1604" s="217" t="s">
        <v>2132</v>
      </c>
      <c r="J1604" s="267" t="s">
        <v>1434</v>
      </c>
      <c r="K1604" s="268">
        <f>9000*50%</f>
        <v>4500</v>
      </c>
      <c r="L1604" s="195" t="s">
        <v>111</v>
      </c>
      <c r="M1604" s="171" t="s">
        <v>2133</v>
      </c>
    </row>
    <row r="1605" spans="1:13" x14ac:dyDescent="0.2">
      <c r="A1605" s="173"/>
      <c r="B1605" s="174"/>
      <c r="C1605" s="175"/>
      <c r="D1605" s="176"/>
      <c r="E1605" s="176"/>
      <c r="F1605" s="176"/>
      <c r="G1605" s="176"/>
      <c r="H1605" s="250"/>
      <c r="I1605" s="184" t="s">
        <v>2134</v>
      </c>
      <c r="J1605" s="272" t="s">
        <v>1434</v>
      </c>
      <c r="K1605" s="214">
        <f>9000*20%</f>
        <v>1800</v>
      </c>
      <c r="L1605" s="197"/>
      <c r="M1605" s="181"/>
    </row>
    <row r="1606" spans="1:13" ht="24" customHeight="1" x14ac:dyDescent="0.2">
      <c r="A1606" s="173"/>
      <c r="B1606" s="174"/>
      <c r="C1606" s="175"/>
      <c r="D1606" s="176"/>
      <c r="E1606" s="176"/>
      <c r="F1606" s="176"/>
      <c r="G1606" s="176"/>
      <c r="H1606" s="250"/>
      <c r="I1606" s="184" t="s">
        <v>1459</v>
      </c>
      <c r="J1606" s="272" t="s">
        <v>1434</v>
      </c>
      <c r="K1606" s="214">
        <f>9000*20%</f>
        <v>1800</v>
      </c>
      <c r="L1606" s="197"/>
      <c r="M1606" s="181"/>
    </row>
    <row r="1607" spans="1:13" x14ac:dyDescent="0.2">
      <c r="A1607" s="173"/>
      <c r="B1607" s="174"/>
      <c r="C1607" s="175"/>
      <c r="D1607" s="176"/>
      <c r="E1607" s="176"/>
      <c r="F1607" s="176"/>
      <c r="G1607" s="176"/>
      <c r="H1607" s="250"/>
      <c r="I1607" s="184" t="s">
        <v>2135</v>
      </c>
      <c r="J1607" s="272" t="s">
        <v>1434</v>
      </c>
      <c r="K1607" s="214">
        <f>9000*10%</f>
        <v>900</v>
      </c>
      <c r="L1607" s="197"/>
      <c r="M1607" s="181"/>
    </row>
    <row r="1608" spans="1:13" x14ac:dyDescent="0.2">
      <c r="A1608" s="185"/>
      <c r="B1608" s="186"/>
      <c r="C1608" s="187"/>
      <c r="D1608" s="188"/>
      <c r="E1608" s="188"/>
      <c r="F1608" s="188"/>
      <c r="G1608" s="188"/>
      <c r="H1608" s="251"/>
      <c r="I1608" s="202"/>
      <c r="J1608" s="275"/>
      <c r="K1608" s="247">
        <f>SUM(K1604:K1607)</f>
        <v>9000</v>
      </c>
      <c r="L1608" s="205"/>
      <c r="M1608" s="193"/>
    </row>
    <row r="1609" spans="1:13" x14ac:dyDescent="0.2">
      <c r="A1609" s="163">
        <v>390</v>
      </c>
      <c r="B1609" s="164" t="s">
        <v>2136</v>
      </c>
      <c r="C1609" s="165"/>
      <c r="D1609" s="166" t="s">
        <v>107</v>
      </c>
      <c r="E1609" s="166"/>
      <c r="F1609" s="166"/>
      <c r="G1609" s="166"/>
      <c r="H1609" s="248" t="s">
        <v>108</v>
      </c>
      <c r="I1609" s="276" t="s">
        <v>2137</v>
      </c>
      <c r="J1609" s="277" t="s">
        <v>1434</v>
      </c>
      <c r="K1609" s="278">
        <f>9000*40%</f>
        <v>3600</v>
      </c>
      <c r="L1609" s="195" t="s">
        <v>111</v>
      </c>
      <c r="M1609" s="171" t="s">
        <v>2138</v>
      </c>
    </row>
    <row r="1610" spans="1:13" x14ac:dyDescent="0.2">
      <c r="A1610" s="173"/>
      <c r="B1610" s="174"/>
      <c r="C1610" s="175"/>
      <c r="D1610" s="176"/>
      <c r="E1610" s="176"/>
      <c r="F1610" s="176"/>
      <c r="G1610" s="176"/>
      <c r="H1610" s="250"/>
      <c r="I1610" s="184" t="s">
        <v>2139</v>
      </c>
      <c r="J1610" s="272" t="s">
        <v>1434</v>
      </c>
      <c r="K1610" s="214">
        <f>9000*35%</f>
        <v>3150</v>
      </c>
      <c r="L1610" s="197"/>
      <c r="M1610" s="181"/>
    </row>
    <row r="1611" spans="1:13" x14ac:dyDescent="0.2">
      <c r="A1611" s="173"/>
      <c r="B1611" s="174"/>
      <c r="C1611" s="175"/>
      <c r="D1611" s="176"/>
      <c r="E1611" s="176"/>
      <c r="F1611" s="176"/>
      <c r="G1611" s="176"/>
      <c r="H1611" s="250"/>
      <c r="I1611" s="184" t="s">
        <v>2140</v>
      </c>
      <c r="J1611" s="272" t="s">
        <v>1434</v>
      </c>
      <c r="K1611" s="214">
        <f>9000*15%</f>
        <v>1350</v>
      </c>
      <c r="L1611" s="197"/>
      <c r="M1611" s="181"/>
    </row>
    <row r="1612" spans="1:13" x14ac:dyDescent="0.2">
      <c r="A1612" s="173"/>
      <c r="B1612" s="174"/>
      <c r="C1612" s="175"/>
      <c r="D1612" s="176"/>
      <c r="E1612" s="176"/>
      <c r="F1612" s="176"/>
      <c r="G1612" s="176"/>
      <c r="H1612" s="250"/>
      <c r="I1612" s="184" t="s">
        <v>2141</v>
      </c>
      <c r="J1612" s="272" t="s">
        <v>1434</v>
      </c>
      <c r="K1612" s="214">
        <f>9000*10%</f>
        <v>900</v>
      </c>
      <c r="L1612" s="197"/>
      <c r="M1612" s="181"/>
    </row>
    <row r="1613" spans="1:13" x14ac:dyDescent="0.2">
      <c r="A1613" s="185"/>
      <c r="B1613" s="186"/>
      <c r="C1613" s="187"/>
      <c r="D1613" s="188"/>
      <c r="E1613" s="188"/>
      <c r="F1613" s="188"/>
      <c r="G1613" s="188"/>
      <c r="H1613" s="251"/>
      <c r="I1613" s="177"/>
      <c r="J1613" s="300"/>
      <c r="K1613" s="196"/>
      <c r="L1613" s="205"/>
      <c r="M1613" s="193"/>
    </row>
    <row r="1614" spans="1:13" x14ac:dyDescent="0.2">
      <c r="A1614" s="163">
        <v>391</v>
      </c>
      <c r="B1614" s="164" t="s">
        <v>2142</v>
      </c>
      <c r="C1614" s="165"/>
      <c r="D1614" s="166" t="s">
        <v>107</v>
      </c>
      <c r="E1614" s="166"/>
      <c r="F1614" s="166"/>
      <c r="G1614" s="166"/>
      <c r="H1614" s="248"/>
      <c r="I1614" s="217" t="s">
        <v>2143</v>
      </c>
      <c r="J1614" s="267" t="s">
        <v>1434</v>
      </c>
      <c r="K1614" s="268">
        <f>9000*90%</f>
        <v>8100</v>
      </c>
      <c r="L1614" s="195" t="s">
        <v>111</v>
      </c>
      <c r="M1614" s="171" t="s">
        <v>2144</v>
      </c>
    </row>
    <row r="1615" spans="1:13" x14ac:dyDescent="0.2">
      <c r="A1615" s="173"/>
      <c r="B1615" s="174"/>
      <c r="C1615" s="175"/>
      <c r="D1615" s="176"/>
      <c r="E1615" s="176"/>
      <c r="F1615" s="176"/>
      <c r="G1615" s="176"/>
      <c r="H1615" s="250"/>
      <c r="I1615" s="184" t="s">
        <v>2145</v>
      </c>
      <c r="J1615" s="272" t="s">
        <v>1434</v>
      </c>
      <c r="K1615" s="214">
        <f>9000*10%</f>
        <v>900</v>
      </c>
      <c r="L1615" s="197"/>
      <c r="M1615" s="181"/>
    </row>
    <row r="1616" spans="1:13" x14ac:dyDescent="0.2">
      <c r="A1616" s="185"/>
      <c r="B1616" s="186"/>
      <c r="C1616" s="187"/>
      <c r="D1616" s="188"/>
      <c r="E1616" s="188"/>
      <c r="F1616" s="188"/>
      <c r="G1616" s="188"/>
      <c r="H1616" s="251"/>
      <c r="I1616" s="202"/>
      <c r="J1616" s="275"/>
      <c r="K1616" s="247">
        <f>SUM(K1614:K1615)</f>
        <v>9000</v>
      </c>
      <c r="L1616" s="205"/>
      <c r="M1616" s="193"/>
    </row>
    <row r="1617" spans="1:13" x14ac:dyDescent="0.2">
      <c r="A1617" s="163">
        <v>392</v>
      </c>
      <c r="B1617" s="164" t="s">
        <v>2146</v>
      </c>
      <c r="C1617" s="165"/>
      <c r="D1617" s="166" t="s">
        <v>107</v>
      </c>
      <c r="E1617" s="166"/>
      <c r="F1617" s="166"/>
      <c r="G1617" s="166"/>
      <c r="H1617" s="248"/>
      <c r="I1617" s="276" t="s">
        <v>2147</v>
      </c>
      <c r="J1617" s="277" t="s">
        <v>1434</v>
      </c>
      <c r="K1617" s="278">
        <f>9000*50%</f>
        <v>4500</v>
      </c>
      <c r="L1617" s="195" t="s">
        <v>111</v>
      </c>
      <c r="M1617" s="171" t="s">
        <v>2148</v>
      </c>
    </row>
    <row r="1618" spans="1:13" x14ac:dyDescent="0.2">
      <c r="A1618" s="173"/>
      <c r="B1618" s="174"/>
      <c r="C1618" s="175"/>
      <c r="D1618" s="176"/>
      <c r="E1618" s="176"/>
      <c r="F1618" s="176"/>
      <c r="G1618" s="176"/>
      <c r="H1618" s="250"/>
      <c r="I1618" s="184" t="s">
        <v>1648</v>
      </c>
      <c r="J1618" s="272" t="s">
        <v>1434</v>
      </c>
      <c r="K1618" s="214">
        <f>9000*20%</f>
        <v>1800</v>
      </c>
      <c r="L1618" s="197"/>
      <c r="M1618" s="181"/>
    </row>
    <row r="1619" spans="1:13" x14ac:dyDescent="0.2">
      <c r="A1619" s="173"/>
      <c r="B1619" s="174"/>
      <c r="C1619" s="175"/>
      <c r="D1619" s="176"/>
      <c r="E1619" s="176"/>
      <c r="F1619" s="176"/>
      <c r="G1619" s="176"/>
      <c r="H1619" s="250"/>
      <c r="I1619" s="184" t="s">
        <v>2149</v>
      </c>
      <c r="J1619" s="272" t="s">
        <v>1434</v>
      </c>
      <c r="K1619" s="214">
        <f>9000*20%</f>
        <v>1800</v>
      </c>
      <c r="L1619" s="197"/>
      <c r="M1619" s="181"/>
    </row>
    <row r="1620" spans="1:13" x14ac:dyDescent="0.2">
      <c r="A1620" s="173"/>
      <c r="B1620" s="174"/>
      <c r="C1620" s="175"/>
      <c r="D1620" s="176"/>
      <c r="E1620" s="176"/>
      <c r="F1620" s="176"/>
      <c r="G1620" s="176"/>
      <c r="H1620" s="250"/>
      <c r="I1620" s="184" t="s">
        <v>2150</v>
      </c>
      <c r="J1620" s="272" t="s">
        <v>190</v>
      </c>
      <c r="K1620" s="214">
        <f>9000*10%</f>
        <v>900</v>
      </c>
      <c r="L1620" s="197"/>
      <c r="M1620" s="181"/>
    </row>
    <row r="1621" spans="1:13" x14ac:dyDescent="0.2">
      <c r="A1621" s="185"/>
      <c r="B1621" s="186"/>
      <c r="C1621" s="187"/>
      <c r="D1621" s="188"/>
      <c r="E1621" s="188"/>
      <c r="F1621" s="188"/>
      <c r="G1621" s="188"/>
      <c r="H1621" s="251"/>
      <c r="I1621" s="177"/>
      <c r="J1621" s="300"/>
      <c r="K1621" s="196">
        <f>SUM(K1617:K1620)</f>
        <v>9000</v>
      </c>
      <c r="L1621" s="205"/>
      <c r="M1621" s="193"/>
    </row>
    <row r="1622" spans="1:13" x14ac:dyDescent="0.2">
      <c r="A1622" s="163">
        <v>393</v>
      </c>
      <c r="B1622" s="164" t="s">
        <v>2151</v>
      </c>
      <c r="C1622" s="165"/>
      <c r="D1622" s="166" t="s">
        <v>107</v>
      </c>
      <c r="E1622" s="166"/>
      <c r="F1622" s="166"/>
      <c r="G1622" s="166"/>
      <c r="H1622" s="248" t="s">
        <v>137</v>
      </c>
      <c r="I1622" s="217" t="s">
        <v>2152</v>
      </c>
      <c r="J1622" s="267" t="s">
        <v>1434</v>
      </c>
      <c r="K1622" s="268">
        <f>12000*60%</f>
        <v>7200</v>
      </c>
      <c r="L1622" s="195" t="s">
        <v>111</v>
      </c>
      <c r="M1622" s="171" t="s">
        <v>2153</v>
      </c>
    </row>
    <row r="1623" spans="1:13" x14ac:dyDescent="0.2">
      <c r="A1623" s="173"/>
      <c r="B1623" s="174"/>
      <c r="C1623" s="175"/>
      <c r="D1623" s="176"/>
      <c r="E1623" s="176"/>
      <c r="F1623" s="176"/>
      <c r="G1623" s="176"/>
      <c r="H1623" s="250"/>
      <c r="I1623" s="184" t="s">
        <v>2149</v>
      </c>
      <c r="J1623" s="272" t="s">
        <v>1434</v>
      </c>
      <c r="K1623" s="214">
        <f>12000*20%</f>
        <v>2400</v>
      </c>
      <c r="L1623" s="197"/>
      <c r="M1623" s="181"/>
    </row>
    <row r="1624" spans="1:13" x14ac:dyDescent="0.2">
      <c r="A1624" s="173"/>
      <c r="B1624" s="174"/>
      <c r="C1624" s="175"/>
      <c r="D1624" s="176"/>
      <c r="E1624" s="176"/>
      <c r="F1624" s="176"/>
      <c r="G1624" s="176"/>
      <c r="H1624" s="250"/>
      <c r="I1624" s="184" t="s">
        <v>1648</v>
      </c>
      <c r="J1624" s="272" t="s">
        <v>1434</v>
      </c>
      <c r="K1624" s="214">
        <f>12000*20%</f>
        <v>2400</v>
      </c>
      <c r="L1624" s="197"/>
      <c r="M1624" s="181"/>
    </row>
    <row r="1625" spans="1:13" x14ac:dyDescent="0.2">
      <c r="A1625" s="185"/>
      <c r="B1625" s="186"/>
      <c r="C1625" s="187"/>
      <c r="D1625" s="188"/>
      <c r="E1625" s="188"/>
      <c r="F1625" s="188"/>
      <c r="G1625" s="188"/>
      <c r="H1625" s="251"/>
      <c r="I1625" s="202"/>
      <c r="J1625" s="275"/>
      <c r="K1625" s="247">
        <f>SUM(K1622:K1624)</f>
        <v>12000</v>
      </c>
      <c r="L1625" s="205"/>
      <c r="M1625" s="193"/>
    </row>
    <row r="1626" spans="1:13" x14ac:dyDescent="0.2">
      <c r="A1626" s="163">
        <v>394</v>
      </c>
      <c r="B1626" s="164" t="s">
        <v>2154</v>
      </c>
      <c r="C1626" s="165"/>
      <c r="D1626" s="166" t="s">
        <v>107</v>
      </c>
      <c r="E1626" s="166"/>
      <c r="F1626" s="166"/>
      <c r="G1626" s="166"/>
      <c r="H1626" s="248"/>
      <c r="I1626" s="276" t="s">
        <v>2155</v>
      </c>
      <c r="J1626" s="277" t="s">
        <v>1434</v>
      </c>
      <c r="K1626" s="278">
        <f>9000*50%</f>
        <v>4500</v>
      </c>
      <c r="L1626" s="195" t="s">
        <v>111</v>
      </c>
      <c r="M1626" s="171" t="s">
        <v>2156</v>
      </c>
    </row>
    <row r="1627" spans="1:13" x14ac:dyDescent="0.2">
      <c r="A1627" s="173"/>
      <c r="B1627" s="174"/>
      <c r="C1627" s="175"/>
      <c r="D1627" s="176"/>
      <c r="E1627" s="176"/>
      <c r="F1627" s="176"/>
      <c r="G1627" s="176"/>
      <c r="H1627" s="250"/>
      <c r="I1627" s="184" t="s">
        <v>2157</v>
      </c>
      <c r="J1627" s="272" t="s">
        <v>1434</v>
      </c>
      <c r="K1627" s="214">
        <f>9000*20%</f>
        <v>1800</v>
      </c>
      <c r="L1627" s="197"/>
      <c r="M1627" s="181"/>
    </row>
    <row r="1628" spans="1:13" x14ac:dyDescent="0.2">
      <c r="A1628" s="173"/>
      <c r="B1628" s="174"/>
      <c r="C1628" s="175"/>
      <c r="D1628" s="176"/>
      <c r="E1628" s="176"/>
      <c r="F1628" s="176"/>
      <c r="G1628" s="176"/>
      <c r="H1628" s="250"/>
      <c r="I1628" s="184" t="s">
        <v>2158</v>
      </c>
      <c r="J1628" s="272" t="s">
        <v>1434</v>
      </c>
      <c r="K1628" s="214">
        <f>9000*20%</f>
        <v>1800</v>
      </c>
      <c r="L1628" s="197"/>
      <c r="M1628" s="181"/>
    </row>
    <row r="1629" spans="1:13" x14ac:dyDescent="0.2">
      <c r="A1629" s="173"/>
      <c r="B1629" s="174"/>
      <c r="C1629" s="175"/>
      <c r="D1629" s="176"/>
      <c r="E1629" s="176"/>
      <c r="F1629" s="176"/>
      <c r="G1629" s="176"/>
      <c r="H1629" s="250"/>
      <c r="I1629" s="184" t="s">
        <v>2159</v>
      </c>
      <c r="J1629" s="272" t="s">
        <v>1434</v>
      </c>
      <c r="K1629" s="214">
        <f>9000*10%</f>
        <v>900</v>
      </c>
      <c r="L1629" s="197"/>
      <c r="M1629" s="181"/>
    </row>
    <row r="1630" spans="1:13" x14ac:dyDescent="0.2">
      <c r="A1630" s="185"/>
      <c r="B1630" s="186"/>
      <c r="C1630" s="187"/>
      <c r="D1630" s="188"/>
      <c r="E1630" s="188"/>
      <c r="F1630" s="188"/>
      <c r="G1630" s="188"/>
      <c r="H1630" s="251"/>
      <c r="I1630" s="177"/>
      <c r="J1630" s="300"/>
      <c r="K1630" s="196">
        <f>SUM(K1626:K1629)</f>
        <v>9000</v>
      </c>
      <c r="L1630" s="205"/>
      <c r="M1630" s="193"/>
    </row>
    <row r="1631" spans="1:13" x14ac:dyDescent="0.2">
      <c r="A1631" s="163">
        <v>395</v>
      </c>
      <c r="B1631" s="164" t="s">
        <v>2160</v>
      </c>
      <c r="C1631" s="165"/>
      <c r="D1631" s="166" t="s">
        <v>107</v>
      </c>
      <c r="E1631" s="166"/>
      <c r="F1631" s="166"/>
      <c r="G1631" s="166"/>
      <c r="H1631" s="248"/>
      <c r="I1631" s="217" t="s">
        <v>2161</v>
      </c>
      <c r="J1631" s="267" t="s">
        <v>1434</v>
      </c>
      <c r="K1631" s="268">
        <f>6000*60%</f>
        <v>3600</v>
      </c>
      <c r="L1631" s="195" t="s">
        <v>111</v>
      </c>
      <c r="M1631" s="171" t="s">
        <v>2162</v>
      </c>
    </row>
    <row r="1632" spans="1:13" x14ac:dyDescent="0.2">
      <c r="A1632" s="173"/>
      <c r="B1632" s="174"/>
      <c r="C1632" s="175"/>
      <c r="D1632" s="176"/>
      <c r="E1632" s="176"/>
      <c r="F1632" s="176"/>
      <c r="G1632" s="176"/>
      <c r="H1632" s="250"/>
      <c r="I1632" s="184" t="s">
        <v>2163</v>
      </c>
      <c r="J1632" s="272" t="s">
        <v>1434</v>
      </c>
      <c r="K1632" s="214">
        <f>6000*20%</f>
        <v>1200</v>
      </c>
      <c r="L1632" s="197"/>
      <c r="M1632" s="181"/>
    </row>
    <row r="1633" spans="1:13" x14ac:dyDescent="0.2">
      <c r="A1633" s="173"/>
      <c r="B1633" s="174"/>
      <c r="C1633" s="175"/>
      <c r="D1633" s="176"/>
      <c r="E1633" s="176"/>
      <c r="F1633" s="176"/>
      <c r="G1633" s="176"/>
      <c r="H1633" s="250"/>
      <c r="I1633" s="184" t="s">
        <v>2164</v>
      </c>
      <c r="J1633" s="272" t="s">
        <v>1434</v>
      </c>
      <c r="K1633" s="214">
        <f>6000*20%</f>
        <v>1200</v>
      </c>
      <c r="L1633" s="197"/>
      <c r="M1633" s="181"/>
    </row>
    <row r="1634" spans="1:13" x14ac:dyDescent="0.2">
      <c r="A1634" s="185"/>
      <c r="B1634" s="186"/>
      <c r="C1634" s="187"/>
      <c r="D1634" s="188"/>
      <c r="E1634" s="188"/>
      <c r="F1634" s="188"/>
      <c r="G1634" s="188"/>
      <c r="H1634" s="251"/>
      <c r="I1634" s="202"/>
      <c r="J1634" s="275"/>
      <c r="K1634" s="247">
        <f>SUM(K1631:K1633)</f>
        <v>6000</v>
      </c>
      <c r="L1634" s="205"/>
      <c r="M1634" s="193"/>
    </row>
    <row r="1635" spans="1:13" x14ac:dyDescent="0.2">
      <c r="A1635" s="163">
        <v>396</v>
      </c>
      <c r="B1635" s="164" t="s">
        <v>2165</v>
      </c>
      <c r="C1635" s="165"/>
      <c r="D1635" s="166" t="s">
        <v>107</v>
      </c>
      <c r="E1635" s="166"/>
      <c r="F1635" s="166"/>
      <c r="G1635" s="166"/>
      <c r="H1635" s="248"/>
      <c r="I1635" s="276" t="s">
        <v>2166</v>
      </c>
      <c r="J1635" s="277" t="s">
        <v>1434</v>
      </c>
      <c r="K1635" s="278">
        <f>9000*50%</f>
        <v>4500</v>
      </c>
      <c r="L1635" s="195" t="s">
        <v>111</v>
      </c>
      <c r="M1635" s="171" t="s">
        <v>2167</v>
      </c>
    </row>
    <row r="1636" spans="1:13" ht="22.5" customHeight="1" x14ac:dyDescent="0.2">
      <c r="A1636" s="173"/>
      <c r="B1636" s="174"/>
      <c r="C1636" s="175"/>
      <c r="D1636" s="176"/>
      <c r="E1636" s="176"/>
      <c r="F1636" s="176"/>
      <c r="G1636" s="176"/>
      <c r="H1636" s="250"/>
      <c r="I1636" s="184" t="s">
        <v>1459</v>
      </c>
      <c r="J1636" s="272" t="s">
        <v>1434</v>
      </c>
      <c r="K1636" s="214">
        <f>9000*20%</f>
        <v>1800</v>
      </c>
      <c r="L1636" s="197"/>
      <c r="M1636" s="181"/>
    </row>
    <row r="1637" spans="1:13" x14ac:dyDescent="0.2">
      <c r="A1637" s="173"/>
      <c r="B1637" s="174"/>
      <c r="C1637" s="175"/>
      <c r="D1637" s="176"/>
      <c r="E1637" s="176"/>
      <c r="F1637" s="176"/>
      <c r="G1637" s="176"/>
      <c r="H1637" s="250"/>
      <c r="I1637" s="184" t="s">
        <v>2164</v>
      </c>
      <c r="J1637" s="272" t="s">
        <v>1434</v>
      </c>
      <c r="K1637" s="214">
        <f>9000*20%</f>
        <v>1800</v>
      </c>
      <c r="L1637" s="197"/>
      <c r="M1637" s="181"/>
    </row>
    <row r="1638" spans="1:13" x14ac:dyDescent="0.2">
      <c r="A1638" s="173"/>
      <c r="B1638" s="174"/>
      <c r="C1638" s="175"/>
      <c r="D1638" s="176"/>
      <c r="E1638" s="176"/>
      <c r="F1638" s="176"/>
      <c r="G1638" s="176"/>
      <c r="H1638" s="250"/>
      <c r="I1638" s="184" t="s">
        <v>2168</v>
      </c>
      <c r="J1638" s="272" t="s">
        <v>1434</v>
      </c>
      <c r="K1638" s="214">
        <f>9000*10%</f>
        <v>900</v>
      </c>
      <c r="L1638" s="197"/>
      <c r="M1638" s="181"/>
    </row>
    <row r="1639" spans="1:13" x14ac:dyDescent="0.2">
      <c r="A1639" s="185"/>
      <c r="B1639" s="186"/>
      <c r="C1639" s="187"/>
      <c r="D1639" s="188"/>
      <c r="E1639" s="188"/>
      <c r="F1639" s="188"/>
      <c r="G1639" s="188"/>
      <c r="H1639" s="251"/>
      <c r="I1639" s="177"/>
      <c r="J1639" s="300"/>
      <c r="K1639" s="196">
        <f>SUM(K1635:K1638)</f>
        <v>9000</v>
      </c>
      <c r="L1639" s="205"/>
      <c r="M1639" s="193"/>
    </row>
    <row r="1640" spans="1:13" x14ac:dyDescent="0.2">
      <c r="A1640" s="163">
        <v>397</v>
      </c>
      <c r="B1640" s="164" t="s">
        <v>2169</v>
      </c>
      <c r="C1640" s="165"/>
      <c r="D1640" s="166" t="s">
        <v>107</v>
      </c>
      <c r="E1640" s="166"/>
      <c r="F1640" s="166"/>
      <c r="G1640" s="166"/>
      <c r="H1640" s="248" t="s">
        <v>108</v>
      </c>
      <c r="I1640" s="217" t="s">
        <v>2170</v>
      </c>
      <c r="J1640" s="267" t="s">
        <v>1434</v>
      </c>
      <c r="K1640" s="268">
        <f>9000*50%</f>
        <v>4500</v>
      </c>
      <c r="L1640" s="195" t="s">
        <v>111</v>
      </c>
      <c r="M1640" s="171" t="s">
        <v>2171</v>
      </c>
    </row>
    <row r="1641" spans="1:13" ht="22.5" customHeight="1" x14ac:dyDescent="0.2">
      <c r="A1641" s="173"/>
      <c r="B1641" s="174"/>
      <c r="C1641" s="175"/>
      <c r="D1641" s="176"/>
      <c r="E1641" s="176"/>
      <c r="F1641" s="176"/>
      <c r="G1641" s="176"/>
      <c r="H1641" s="250"/>
      <c r="I1641" s="184" t="s">
        <v>1459</v>
      </c>
      <c r="J1641" s="272" t="s">
        <v>1434</v>
      </c>
      <c r="K1641" s="214">
        <f>9000*20%</f>
        <v>1800</v>
      </c>
      <c r="L1641" s="197"/>
      <c r="M1641" s="181"/>
    </row>
    <row r="1642" spans="1:13" x14ac:dyDescent="0.2">
      <c r="A1642" s="173"/>
      <c r="B1642" s="174"/>
      <c r="C1642" s="175"/>
      <c r="D1642" s="176"/>
      <c r="E1642" s="176"/>
      <c r="F1642" s="176"/>
      <c r="G1642" s="176"/>
      <c r="H1642" s="250"/>
      <c r="I1642" s="184" t="s">
        <v>2134</v>
      </c>
      <c r="J1642" s="272" t="s">
        <v>1434</v>
      </c>
      <c r="K1642" s="214">
        <f>9000*20%</f>
        <v>1800</v>
      </c>
      <c r="L1642" s="197"/>
      <c r="M1642" s="181"/>
    </row>
    <row r="1643" spans="1:13" x14ac:dyDescent="0.2">
      <c r="A1643" s="173"/>
      <c r="B1643" s="174"/>
      <c r="C1643" s="175"/>
      <c r="D1643" s="176"/>
      <c r="E1643" s="176"/>
      <c r="F1643" s="176"/>
      <c r="G1643" s="176"/>
      <c r="H1643" s="250"/>
      <c r="I1643" s="184" t="s">
        <v>2168</v>
      </c>
      <c r="J1643" s="272" t="s">
        <v>1434</v>
      </c>
      <c r="K1643" s="214">
        <f>9000*10%</f>
        <v>900</v>
      </c>
      <c r="L1643" s="197"/>
      <c r="M1643" s="181"/>
    </row>
    <row r="1644" spans="1:13" x14ac:dyDescent="0.2">
      <c r="A1644" s="185"/>
      <c r="B1644" s="186"/>
      <c r="C1644" s="187"/>
      <c r="D1644" s="188"/>
      <c r="E1644" s="188"/>
      <c r="F1644" s="188"/>
      <c r="G1644" s="188"/>
      <c r="H1644" s="251"/>
      <c r="I1644" s="202"/>
      <c r="J1644" s="275"/>
      <c r="K1644" s="247">
        <f>SUM(K1640:K1643)</f>
        <v>9000</v>
      </c>
      <c r="L1644" s="205"/>
      <c r="M1644" s="193"/>
    </row>
    <row r="1645" spans="1:13" ht="75.75" customHeight="1" x14ac:dyDescent="0.2">
      <c r="A1645" s="232">
        <v>398</v>
      </c>
      <c r="B1645" s="255" t="s">
        <v>2172</v>
      </c>
      <c r="C1645" s="256" t="s">
        <v>2172</v>
      </c>
      <c r="D1645" s="258" t="s">
        <v>107</v>
      </c>
      <c r="E1645" s="258"/>
      <c r="F1645" s="258"/>
      <c r="G1645" s="258"/>
      <c r="H1645" s="259"/>
      <c r="I1645" s="282" t="s">
        <v>2173</v>
      </c>
      <c r="J1645" s="312" t="s">
        <v>1434</v>
      </c>
      <c r="K1645" s="284">
        <v>12600</v>
      </c>
      <c r="L1645" s="306" t="s">
        <v>111</v>
      </c>
      <c r="M1645" s="189" t="s">
        <v>2174</v>
      </c>
    </row>
    <row r="1646" spans="1:13" ht="81.75" customHeight="1" x14ac:dyDescent="0.2">
      <c r="A1646" s="232">
        <v>399</v>
      </c>
      <c r="B1646" s="255" t="s">
        <v>2175</v>
      </c>
      <c r="C1646" s="256" t="s">
        <v>2175</v>
      </c>
      <c r="D1646" s="258" t="s">
        <v>107</v>
      </c>
      <c r="E1646" s="258"/>
      <c r="F1646" s="258"/>
      <c r="G1646" s="258"/>
      <c r="H1646" s="259"/>
      <c r="I1646" s="282" t="s">
        <v>2173</v>
      </c>
      <c r="J1646" s="312" t="s">
        <v>1434</v>
      </c>
      <c r="K1646" s="284">
        <v>9000</v>
      </c>
      <c r="L1646" s="306" t="s">
        <v>111</v>
      </c>
      <c r="M1646" s="189" t="s">
        <v>2176</v>
      </c>
    </row>
    <row r="1647" spans="1:13" x14ac:dyDescent="0.2">
      <c r="A1647" s="163">
        <v>400</v>
      </c>
      <c r="B1647" s="164" t="s">
        <v>2177</v>
      </c>
      <c r="C1647" s="165"/>
      <c r="D1647" s="166" t="s">
        <v>107</v>
      </c>
      <c r="E1647" s="166"/>
      <c r="F1647" s="166"/>
      <c r="G1647" s="166"/>
      <c r="H1647" s="248" t="s">
        <v>108</v>
      </c>
      <c r="I1647" s="276" t="s">
        <v>2178</v>
      </c>
      <c r="J1647" s="277" t="s">
        <v>1434</v>
      </c>
      <c r="K1647" s="278">
        <f>7500*50%</f>
        <v>3750</v>
      </c>
      <c r="L1647" s="195" t="s">
        <v>111</v>
      </c>
      <c r="M1647" s="171" t="s">
        <v>2179</v>
      </c>
    </row>
    <row r="1648" spans="1:13" x14ac:dyDescent="0.2">
      <c r="A1648" s="173"/>
      <c r="B1648" s="174"/>
      <c r="C1648" s="175"/>
      <c r="D1648" s="176"/>
      <c r="E1648" s="176"/>
      <c r="F1648" s="176"/>
      <c r="G1648" s="176"/>
      <c r="H1648" s="250"/>
      <c r="I1648" s="184" t="s">
        <v>2180</v>
      </c>
      <c r="J1648" s="272" t="s">
        <v>1434</v>
      </c>
      <c r="K1648" s="214">
        <f>7500*30%</f>
        <v>2250</v>
      </c>
      <c r="L1648" s="197"/>
      <c r="M1648" s="181"/>
    </row>
    <row r="1649" spans="1:13" x14ac:dyDescent="0.2">
      <c r="A1649" s="173"/>
      <c r="B1649" s="174"/>
      <c r="C1649" s="175"/>
      <c r="D1649" s="176"/>
      <c r="E1649" s="176"/>
      <c r="F1649" s="176"/>
      <c r="G1649" s="176"/>
      <c r="H1649" s="250"/>
      <c r="I1649" s="184" t="s">
        <v>2181</v>
      </c>
      <c r="J1649" s="272" t="s">
        <v>1434</v>
      </c>
      <c r="K1649" s="214">
        <f>7500*10%</f>
        <v>750</v>
      </c>
      <c r="L1649" s="197"/>
      <c r="M1649" s="181"/>
    </row>
    <row r="1650" spans="1:13" x14ac:dyDescent="0.2">
      <c r="A1650" s="173"/>
      <c r="B1650" s="174"/>
      <c r="C1650" s="175"/>
      <c r="D1650" s="176"/>
      <c r="E1650" s="176"/>
      <c r="F1650" s="176"/>
      <c r="G1650" s="176"/>
      <c r="H1650" s="250"/>
      <c r="I1650" s="184" t="s">
        <v>2182</v>
      </c>
      <c r="J1650" s="272" t="s">
        <v>599</v>
      </c>
      <c r="K1650" s="214">
        <f>7500*10%</f>
        <v>750</v>
      </c>
      <c r="L1650" s="197"/>
      <c r="M1650" s="181"/>
    </row>
    <row r="1651" spans="1:13" x14ac:dyDescent="0.2">
      <c r="A1651" s="185"/>
      <c r="B1651" s="186"/>
      <c r="C1651" s="187"/>
      <c r="D1651" s="188"/>
      <c r="E1651" s="188"/>
      <c r="F1651" s="188"/>
      <c r="G1651" s="188"/>
      <c r="H1651" s="251"/>
      <c r="I1651" s="177"/>
      <c r="J1651" s="203"/>
      <c r="K1651" s="196">
        <f>SUM(K1647:K1650)</f>
        <v>7500</v>
      </c>
      <c r="L1651" s="205"/>
      <c r="M1651" s="193"/>
    </row>
    <row r="1652" spans="1:13" x14ac:dyDescent="0.2">
      <c r="A1652" s="163">
        <v>401</v>
      </c>
      <c r="B1652" s="164" t="s">
        <v>2183</v>
      </c>
      <c r="C1652" s="165"/>
      <c r="D1652" s="166" t="s">
        <v>107</v>
      </c>
      <c r="E1652" s="166"/>
      <c r="F1652" s="166"/>
      <c r="G1652" s="166"/>
      <c r="H1652" s="248"/>
      <c r="I1652" s="217" t="s">
        <v>2184</v>
      </c>
      <c r="J1652" s="277" t="s">
        <v>1434</v>
      </c>
      <c r="K1652" s="268">
        <f>7500*50%</f>
        <v>3750</v>
      </c>
      <c r="L1652" s="195" t="s">
        <v>111</v>
      </c>
      <c r="M1652" s="171" t="s">
        <v>2185</v>
      </c>
    </row>
    <row r="1653" spans="1:13" x14ac:dyDescent="0.2">
      <c r="A1653" s="173"/>
      <c r="B1653" s="174"/>
      <c r="C1653" s="175"/>
      <c r="D1653" s="176"/>
      <c r="E1653" s="176"/>
      <c r="F1653" s="176"/>
      <c r="G1653" s="176"/>
      <c r="H1653" s="250"/>
      <c r="I1653" s="184" t="s">
        <v>2186</v>
      </c>
      <c r="J1653" s="272" t="s">
        <v>1434</v>
      </c>
      <c r="K1653" s="214">
        <f>7500*25%</f>
        <v>1875</v>
      </c>
      <c r="L1653" s="197"/>
      <c r="M1653" s="181"/>
    </row>
    <row r="1654" spans="1:13" x14ac:dyDescent="0.2">
      <c r="A1654" s="173"/>
      <c r="B1654" s="174"/>
      <c r="C1654" s="175"/>
      <c r="D1654" s="176"/>
      <c r="E1654" s="176"/>
      <c r="F1654" s="176"/>
      <c r="G1654" s="176"/>
      <c r="H1654" s="250"/>
      <c r="I1654" s="184" t="s">
        <v>803</v>
      </c>
      <c r="J1654" s="272" t="s">
        <v>599</v>
      </c>
      <c r="K1654" s="214">
        <f>7500*25%</f>
        <v>1875</v>
      </c>
      <c r="L1654" s="197"/>
      <c r="M1654" s="181"/>
    </row>
    <row r="1655" spans="1:13" x14ac:dyDescent="0.2">
      <c r="A1655" s="185"/>
      <c r="B1655" s="186"/>
      <c r="C1655" s="187"/>
      <c r="D1655" s="188"/>
      <c r="E1655" s="188"/>
      <c r="F1655" s="188"/>
      <c r="G1655" s="188"/>
      <c r="H1655" s="251"/>
      <c r="I1655" s="177"/>
      <c r="J1655" s="300"/>
      <c r="K1655" s="196">
        <f>SUM(K1652:K1654)</f>
        <v>7500</v>
      </c>
      <c r="L1655" s="205"/>
      <c r="M1655" s="193"/>
    </row>
    <row r="1656" spans="1:13" x14ac:dyDescent="0.2">
      <c r="A1656" s="163">
        <v>402</v>
      </c>
      <c r="B1656" s="164" t="s">
        <v>2187</v>
      </c>
      <c r="C1656" s="165"/>
      <c r="D1656" s="166" t="s">
        <v>107</v>
      </c>
      <c r="E1656" s="166"/>
      <c r="F1656" s="166"/>
      <c r="G1656" s="166"/>
      <c r="H1656" s="248"/>
      <c r="I1656" s="217" t="s">
        <v>2188</v>
      </c>
      <c r="J1656" s="267" t="s">
        <v>1434</v>
      </c>
      <c r="K1656" s="268">
        <f>9000*70%</f>
        <v>6300</v>
      </c>
      <c r="L1656" s="195" t="s">
        <v>111</v>
      </c>
      <c r="M1656" s="171" t="s">
        <v>2189</v>
      </c>
    </row>
    <row r="1657" spans="1:13" x14ac:dyDescent="0.2">
      <c r="A1657" s="173"/>
      <c r="B1657" s="174"/>
      <c r="C1657" s="175"/>
      <c r="D1657" s="176"/>
      <c r="E1657" s="176"/>
      <c r="F1657" s="176"/>
      <c r="G1657" s="176"/>
      <c r="H1657" s="250"/>
      <c r="I1657" s="184" t="s">
        <v>1433</v>
      </c>
      <c r="J1657" s="272" t="s">
        <v>1434</v>
      </c>
      <c r="K1657" s="214">
        <f t="shared" ref="K1657:K1662" si="38">9000*5%</f>
        <v>450</v>
      </c>
      <c r="L1657" s="197"/>
      <c r="M1657" s="181"/>
    </row>
    <row r="1658" spans="1:13" x14ac:dyDescent="0.2">
      <c r="A1658" s="173"/>
      <c r="B1658" s="174"/>
      <c r="C1658" s="175"/>
      <c r="D1658" s="176"/>
      <c r="E1658" s="176"/>
      <c r="F1658" s="176"/>
      <c r="G1658" s="176"/>
      <c r="H1658" s="250"/>
      <c r="I1658" s="184" t="s">
        <v>2190</v>
      </c>
      <c r="J1658" s="272" t="s">
        <v>1434</v>
      </c>
      <c r="K1658" s="214">
        <f t="shared" si="38"/>
        <v>450</v>
      </c>
      <c r="L1658" s="197"/>
      <c r="M1658" s="181"/>
    </row>
    <row r="1659" spans="1:13" x14ac:dyDescent="0.2">
      <c r="A1659" s="173"/>
      <c r="B1659" s="174"/>
      <c r="C1659" s="175"/>
      <c r="D1659" s="176"/>
      <c r="E1659" s="176"/>
      <c r="F1659" s="176"/>
      <c r="G1659" s="176"/>
      <c r="H1659" s="250"/>
      <c r="I1659" s="184" t="s">
        <v>1437</v>
      </c>
      <c r="J1659" s="272" t="s">
        <v>1434</v>
      </c>
      <c r="K1659" s="214">
        <f t="shared" si="38"/>
        <v>450</v>
      </c>
      <c r="L1659" s="197"/>
      <c r="M1659" s="181"/>
    </row>
    <row r="1660" spans="1:13" x14ac:dyDescent="0.2">
      <c r="A1660" s="173"/>
      <c r="B1660" s="174"/>
      <c r="C1660" s="175"/>
      <c r="D1660" s="176"/>
      <c r="E1660" s="176"/>
      <c r="F1660" s="176"/>
      <c r="G1660" s="176"/>
      <c r="H1660" s="250"/>
      <c r="I1660" s="184" t="s">
        <v>1600</v>
      </c>
      <c r="J1660" s="272" t="s">
        <v>683</v>
      </c>
      <c r="K1660" s="214">
        <f t="shared" si="38"/>
        <v>450</v>
      </c>
      <c r="L1660" s="197"/>
      <c r="M1660" s="181"/>
    </row>
    <row r="1661" spans="1:13" x14ac:dyDescent="0.2">
      <c r="A1661" s="173"/>
      <c r="B1661" s="174"/>
      <c r="C1661" s="175"/>
      <c r="D1661" s="176"/>
      <c r="E1661" s="176"/>
      <c r="F1661" s="176"/>
      <c r="G1661" s="176"/>
      <c r="H1661" s="250"/>
      <c r="I1661" s="184" t="s">
        <v>2191</v>
      </c>
      <c r="J1661" s="272" t="s">
        <v>683</v>
      </c>
      <c r="K1661" s="214">
        <f t="shared" si="38"/>
        <v>450</v>
      </c>
      <c r="L1661" s="197"/>
      <c r="M1661" s="181"/>
    </row>
    <row r="1662" spans="1:13" x14ac:dyDescent="0.2">
      <c r="A1662" s="173"/>
      <c r="B1662" s="174"/>
      <c r="C1662" s="175"/>
      <c r="D1662" s="176"/>
      <c r="E1662" s="176"/>
      <c r="F1662" s="176"/>
      <c r="G1662" s="176"/>
      <c r="H1662" s="250"/>
      <c r="I1662" s="184" t="s">
        <v>2192</v>
      </c>
      <c r="J1662" s="272" t="s">
        <v>683</v>
      </c>
      <c r="K1662" s="214">
        <f t="shared" si="38"/>
        <v>450</v>
      </c>
      <c r="L1662" s="197"/>
      <c r="M1662" s="181"/>
    </row>
    <row r="1663" spans="1:13" x14ac:dyDescent="0.2">
      <c r="A1663" s="185"/>
      <c r="B1663" s="186"/>
      <c r="C1663" s="187"/>
      <c r="D1663" s="188"/>
      <c r="E1663" s="188"/>
      <c r="F1663" s="188"/>
      <c r="G1663" s="188"/>
      <c r="H1663" s="251"/>
      <c r="I1663" s="202"/>
      <c r="J1663" s="275"/>
      <c r="K1663" s="247">
        <f>SUM(K1656:K1662)</f>
        <v>9000</v>
      </c>
      <c r="L1663" s="205"/>
      <c r="M1663" s="193"/>
    </row>
    <row r="1664" spans="1:13" x14ac:dyDescent="0.2">
      <c r="A1664" s="163">
        <v>403</v>
      </c>
      <c r="B1664" s="164" t="s">
        <v>2193</v>
      </c>
      <c r="C1664" s="165"/>
      <c r="D1664" s="166" t="s">
        <v>107</v>
      </c>
      <c r="E1664" s="166"/>
      <c r="F1664" s="166"/>
      <c r="G1664" s="166"/>
      <c r="H1664" s="248"/>
      <c r="I1664" s="276" t="s">
        <v>2194</v>
      </c>
      <c r="J1664" s="277" t="s">
        <v>1434</v>
      </c>
      <c r="K1664" s="278">
        <f>12000*80%</f>
        <v>9600</v>
      </c>
      <c r="L1664" s="195" t="s">
        <v>111</v>
      </c>
      <c r="M1664" s="171" t="s">
        <v>2195</v>
      </c>
    </row>
    <row r="1665" spans="1:13" x14ac:dyDescent="0.2">
      <c r="A1665" s="173"/>
      <c r="B1665" s="174"/>
      <c r="C1665" s="175"/>
      <c r="D1665" s="176"/>
      <c r="E1665" s="176"/>
      <c r="F1665" s="176"/>
      <c r="G1665" s="176"/>
      <c r="H1665" s="250"/>
      <c r="I1665" s="184" t="s">
        <v>2196</v>
      </c>
      <c r="J1665" s="272" t="s">
        <v>1434</v>
      </c>
      <c r="K1665" s="214">
        <f>12000*10%</f>
        <v>1200</v>
      </c>
      <c r="L1665" s="197"/>
      <c r="M1665" s="181"/>
    </row>
    <row r="1666" spans="1:13" x14ac:dyDescent="0.2">
      <c r="A1666" s="173"/>
      <c r="B1666" s="174"/>
      <c r="C1666" s="175"/>
      <c r="D1666" s="176"/>
      <c r="E1666" s="176"/>
      <c r="F1666" s="176"/>
      <c r="G1666" s="176"/>
      <c r="H1666" s="250"/>
      <c r="I1666" s="184" t="s">
        <v>2197</v>
      </c>
      <c r="J1666" s="272" t="s">
        <v>1434</v>
      </c>
      <c r="K1666" s="214">
        <f>12000*10%</f>
        <v>1200</v>
      </c>
      <c r="L1666" s="197"/>
      <c r="M1666" s="181"/>
    </row>
    <row r="1667" spans="1:13" x14ac:dyDescent="0.2">
      <c r="A1667" s="185"/>
      <c r="B1667" s="186"/>
      <c r="C1667" s="187"/>
      <c r="D1667" s="188"/>
      <c r="E1667" s="188"/>
      <c r="F1667" s="188"/>
      <c r="G1667" s="188"/>
      <c r="H1667" s="251"/>
      <c r="I1667" s="177"/>
      <c r="J1667" s="300"/>
      <c r="K1667" s="196">
        <f>SUM(K1664:K1666)</f>
        <v>12000</v>
      </c>
      <c r="L1667" s="205"/>
      <c r="M1667" s="193"/>
    </row>
    <row r="1668" spans="1:13" x14ac:dyDescent="0.2">
      <c r="A1668" s="163">
        <v>404</v>
      </c>
      <c r="B1668" s="164" t="s">
        <v>2198</v>
      </c>
      <c r="C1668" s="165"/>
      <c r="D1668" s="166" t="s">
        <v>107</v>
      </c>
      <c r="E1668" s="166"/>
      <c r="F1668" s="166"/>
      <c r="G1668" s="166"/>
      <c r="H1668" s="248"/>
      <c r="I1668" s="217" t="s">
        <v>2199</v>
      </c>
      <c r="J1668" s="267" t="s">
        <v>1434</v>
      </c>
      <c r="K1668" s="268">
        <f>9000*50%</f>
        <v>4500</v>
      </c>
      <c r="L1668" s="195" t="s">
        <v>111</v>
      </c>
      <c r="M1668" s="171" t="s">
        <v>2200</v>
      </c>
    </row>
    <row r="1669" spans="1:13" x14ac:dyDescent="0.2">
      <c r="A1669" s="173"/>
      <c r="B1669" s="174"/>
      <c r="C1669" s="175"/>
      <c r="D1669" s="176"/>
      <c r="E1669" s="176"/>
      <c r="F1669" s="176"/>
      <c r="G1669" s="176"/>
      <c r="H1669" s="250"/>
      <c r="I1669" s="184" t="s">
        <v>2196</v>
      </c>
      <c r="J1669" s="272" t="s">
        <v>1434</v>
      </c>
      <c r="K1669" s="214">
        <f>9000*10%</f>
        <v>900</v>
      </c>
      <c r="L1669" s="197"/>
      <c r="M1669" s="181"/>
    </row>
    <row r="1670" spans="1:13" x14ac:dyDescent="0.2">
      <c r="A1670" s="173"/>
      <c r="B1670" s="174"/>
      <c r="C1670" s="175"/>
      <c r="D1670" s="176"/>
      <c r="E1670" s="176"/>
      <c r="F1670" s="176"/>
      <c r="G1670" s="176"/>
      <c r="H1670" s="250"/>
      <c r="I1670" s="184" t="s">
        <v>2197</v>
      </c>
      <c r="J1670" s="272" t="s">
        <v>1434</v>
      </c>
      <c r="K1670" s="214">
        <f>9000*10%</f>
        <v>900</v>
      </c>
      <c r="L1670" s="197"/>
      <c r="M1670" s="181"/>
    </row>
    <row r="1671" spans="1:13" x14ac:dyDescent="0.2">
      <c r="A1671" s="173"/>
      <c r="B1671" s="174"/>
      <c r="C1671" s="175"/>
      <c r="D1671" s="176"/>
      <c r="E1671" s="176"/>
      <c r="F1671" s="176"/>
      <c r="G1671" s="176"/>
      <c r="H1671" s="250"/>
      <c r="I1671" s="184" t="s">
        <v>608</v>
      </c>
      <c r="J1671" s="272" t="s">
        <v>190</v>
      </c>
      <c r="K1671" s="214">
        <f>9000*10%</f>
        <v>900</v>
      </c>
      <c r="L1671" s="197"/>
      <c r="M1671" s="181"/>
    </row>
    <row r="1672" spans="1:13" x14ac:dyDescent="0.2">
      <c r="A1672" s="173"/>
      <c r="B1672" s="174"/>
      <c r="C1672" s="175"/>
      <c r="D1672" s="176"/>
      <c r="E1672" s="176"/>
      <c r="F1672" s="176"/>
      <c r="G1672" s="176"/>
      <c r="H1672" s="250"/>
      <c r="I1672" s="184" t="s">
        <v>2201</v>
      </c>
      <c r="J1672" s="272" t="s">
        <v>190</v>
      </c>
      <c r="K1672" s="214">
        <f>9000*5%</f>
        <v>450</v>
      </c>
      <c r="L1672" s="197"/>
      <c r="M1672" s="181"/>
    </row>
    <row r="1673" spans="1:13" x14ac:dyDescent="0.2">
      <c r="A1673" s="173"/>
      <c r="B1673" s="174"/>
      <c r="C1673" s="175"/>
      <c r="D1673" s="176"/>
      <c r="E1673" s="176"/>
      <c r="F1673" s="176"/>
      <c r="G1673" s="176"/>
      <c r="H1673" s="250"/>
      <c r="I1673" s="184" t="s">
        <v>2202</v>
      </c>
      <c r="J1673" s="272" t="s">
        <v>1434</v>
      </c>
      <c r="K1673" s="214">
        <f>9000*10%</f>
        <v>900</v>
      </c>
      <c r="L1673" s="197"/>
      <c r="M1673" s="181"/>
    </row>
    <row r="1674" spans="1:13" x14ac:dyDescent="0.2">
      <c r="A1674" s="173"/>
      <c r="B1674" s="174"/>
      <c r="C1674" s="175"/>
      <c r="D1674" s="176"/>
      <c r="E1674" s="176"/>
      <c r="F1674" s="176"/>
      <c r="G1674" s="176"/>
      <c r="H1674" s="250"/>
      <c r="I1674" s="184" t="s">
        <v>2203</v>
      </c>
      <c r="J1674" s="272" t="s">
        <v>1434</v>
      </c>
      <c r="K1674" s="214">
        <f>9000*5%</f>
        <v>450</v>
      </c>
      <c r="L1674" s="197"/>
      <c r="M1674" s="181"/>
    </row>
    <row r="1675" spans="1:13" x14ac:dyDescent="0.2">
      <c r="A1675" s="185"/>
      <c r="B1675" s="186"/>
      <c r="C1675" s="187"/>
      <c r="D1675" s="188"/>
      <c r="E1675" s="188"/>
      <c r="F1675" s="188"/>
      <c r="G1675" s="188"/>
      <c r="H1675" s="251"/>
      <c r="I1675" s="202"/>
      <c r="J1675" s="275"/>
      <c r="K1675" s="247">
        <f>SUM(K1668:K1674)</f>
        <v>9000</v>
      </c>
      <c r="L1675" s="205"/>
      <c r="M1675" s="193"/>
    </row>
    <row r="1676" spans="1:13" ht="48" x14ac:dyDescent="0.2">
      <c r="A1676" s="163">
        <v>405</v>
      </c>
      <c r="B1676" s="164" t="s">
        <v>2204</v>
      </c>
      <c r="C1676" s="165"/>
      <c r="D1676" s="166" t="s">
        <v>107</v>
      </c>
      <c r="E1676" s="166"/>
      <c r="F1676" s="166"/>
      <c r="G1676" s="166"/>
      <c r="H1676" s="248"/>
      <c r="I1676" s="276" t="s">
        <v>2205</v>
      </c>
      <c r="J1676" s="277" t="s">
        <v>1434</v>
      </c>
      <c r="K1676" s="278">
        <f>6600*65%</f>
        <v>4290</v>
      </c>
      <c r="L1676" s="195" t="s">
        <v>111</v>
      </c>
      <c r="M1676" s="171" t="s">
        <v>2206</v>
      </c>
    </row>
    <row r="1677" spans="1:13" x14ac:dyDescent="0.2">
      <c r="A1677" s="173"/>
      <c r="B1677" s="174"/>
      <c r="C1677" s="175"/>
      <c r="D1677" s="176"/>
      <c r="E1677" s="176"/>
      <c r="F1677" s="176"/>
      <c r="G1677" s="176"/>
      <c r="H1677" s="250"/>
      <c r="I1677" s="184" t="s">
        <v>2207</v>
      </c>
      <c r="J1677" s="272" t="s">
        <v>1116</v>
      </c>
      <c r="K1677" s="214">
        <f>6600*10%</f>
        <v>660</v>
      </c>
      <c r="L1677" s="197"/>
      <c r="M1677" s="181"/>
    </row>
    <row r="1678" spans="1:13" x14ac:dyDescent="0.2">
      <c r="A1678" s="173"/>
      <c r="B1678" s="174"/>
      <c r="C1678" s="175"/>
      <c r="D1678" s="176"/>
      <c r="E1678" s="176"/>
      <c r="F1678" s="176"/>
      <c r="G1678" s="176"/>
      <c r="H1678" s="250"/>
      <c r="I1678" s="184" t="s">
        <v>2208</v>
      </c>
      <c r="J1678" s="272" t="s">
        <v>1434</v>
      </c>
      <c r="K1678" s="214">
        <f>6600*10%</f>
        <v>660</v>
      </c>
      <c r="L1678" s="197"/>
      <c r="M1678" s="181"/>
    </row>
    <row r="1679" spans="1:13" x14ac:dyDescent="0.2">
      <c r="A1679" s="173"/>
      <c r="B1679" s="174"/>
      <c r="C1679" s="175"/>
      <c r="D1679" s="176"/>
      <c r="E1679" s="176"/>
      <c r="F1679" s="176"/>
      <c r="G1679" s="176"/>
      <c r="H1679" s="250"/>
      <c r="I1679" s="184" t="s">
        <v>2209</v>
      </c>
      <c r="J1679" s="272" t="s">
        <v>1434</v>
      </c>
      <c r="K1679" s="214">
        <f>6600*10%</f>
        <v>660</v>
      </c>
      <c r="L1679" s="197"/>
      <c r="M1679" s="181"/>
    </row>
    <row r="1680" spans="1:13" x14ac:dyDescent="0.2">
      <c r="A1680" s="173"/>
      <c r="B1680" s="174"/>
      <c r="C1680" s="175"/>
      <c r="D1680" s="176"/>
      <c r="E1680" s="176"/>
      <c r="F1680" s="176"/>
      <c r="G1680" s="176"/>
      <c r="H1680" s="250"/>
      <c r="I1680" s="184" t="s">
        <v>1437</v>
      </c>
      <c r="J1680" s="272" t="s">
        <v>1434</v>
      </c>
      <c r="K1680" s="214">
        <f>6600*5%</f>
        <v>330</v>
      </c>
      <c r="L1680" s="197"/>
      <c r="M1680" s="181"/>
    </row>
    <row r="1681" spans="1:14" x14ac:dyDescent="0.2">
      <c r="A1681" s="185"/>
      <c r="B1681" s="186"/>
      <c r="C1681" s="187"/>
      <c r="D1681" s="188"/>
      <c r="E1681" s="188"/>
      <c r="F1681" s="188"/>
      <c r="G1681" s="188"/>
      <c r="H1681" s="251"/>
      <c r="I1681" s="177"/>
      <c r="J1681" s="300"/>
      <c r="K1681" s="196">
        <f>SUM(K1676:K1680)</f>
        <v>6600</v>
      </c>
      <c r="L1681" s="205"/>
      <c r="M1681" s="193"/>
    </row>
    <row r="1682" spans="1:14" x14ac:dyDescent="0.2">
      <c r="A1682" s="163">
        <v>406</v>
      </c>
      <c r="B1682" s="164" t="s">
        <v>2210</v>
      </c>
      <c r="C1682" s="165"/>
      <c r="D1682" s="166" t="s">
        <v>107</v>
      </c>
      <c r="E1682" s="166"/>
      <c r="F1682" s="166"/>
      <c r="G1682" s="166"/>
      <c r="H1682" s="248"/>
      <c r="I1682" s="217" t="s">
        <v>2211</v>
      </c>
      <c r="J1682" s="267" t="s">
        <v>1434</v>
      </c>
      <c r="K1682" s="268">
        <f>11100*70%</f>
        <v>7769.9999999999991</v>
      </c>
      <c r="L1682" s="195" t="s">
        <v>111</v>
      </c>
      <c r="M1682" s="171" t="s">
        <v>2212</v>
      </c>
    </row>
    <row r="1683" spans="1:14" x14ac:dyDescent="0.2">
      <c r="A1683" s="173"/>
      <c r="B1683" s="174"/>
      <c r="C1683" s="175"/>
      <c r="D1683" s="176"/>
      <c r="E1683" s="176"/>
      <c r="F1683" s="176"/>
      <c r="G1683" s="176"/>
      <c r="H1683" s="250"/>
      <c r="I1683" s="184" t="s">
        <v>2213</v>
      </c>
      <c r="J1683" s="272" t="s">
        <v>1434</v>
      </c>
      <c r="K1683" s="214">
        <f t="shared" ref="K1683:K1688" si="39">11100*5%</f>
        <v>555</v>
      </c>
      <c r="L1683" s="197"/>
      <c r="M1683" s="181"/>
    </row>
    <row r="1684" spans="1:14" x14ac:dyDescent="0.2">
      <c r="A1684" s="173"/>
      <c r="B1684" s="174"/>
      <c r="C1684" s="175"/>
      <c r="D1684" s="176"/>
      <c r="E1684" s="176"/>
      <c r="F1684" s="176"/>
      <c r="G1684" s="176"/>
      <c r="H1684" s="250"/>
      <c r="I1684" s="184" t="s">
        <v>582</v>
      </c>
      <c r="J1684" s="272" t="s">
        <v>1434</v>
      </c>
      <c r="K1684" s="214">
        <f t="shared" si="39"/>
        <v>555</v>
      </c>
      <c r="L1684" s="197"/>
      <c r="M1684" s="181"/>
    </row>
    <row r="1685" spans="1:14" x14ac:dyDescent="0.2">
      <c r="A1685" s="173"/>
      <c r="B1685" s="174"/>
      <c r="C1685" s="175"/>
      <c r="D1685" s="176"/>
      <c r="E1685" s="176"/>
      <c r="F1685" s="176"/>
      <c r="G1685" s="176"/>
      <c r="H1685" s="250"/>
      <c r="I1685" s="184" t="s">
        <v>2214</v>
      </c>
      <c r="J1685" s="272" t="s">
        <v>1434</v>
      </c>
      <c r="K1685" s="214">
        <f t="shared" si="39"/>
        <v>555</v>
      </c>
      <c r="L1685" s="197"/>
      <c r="M1685" s="181"/>
    </row>
    <row r="1686" spans="1:14" x14ac:dyDescent="0.2">
      <c r="A1686" s="173"/>
      <c r="B1686" s="174"/>
      <c r="C1686" s="175"/>
      <c r="D1686" s="176"/>
      <c r="E1686" s="176"/>
      <c r="F1686" s="176"/>
      <c r="G1686" s="176"/>
      <c r="H1686" s="250"/>
      <c r="I1686" s="184" t="s">
        <v>2215</v>
      </c>
      <c r="J1686" s="272" t="s">
        <v>1434</v>
      </c>
      <c r="K1686" s="214">
        <f t="shared" si="39"/>
        <v>555</v>
      </c>
      <c r="L1686" s="197"/>
      <c r="M1686" s="181"/>
    </row>
    <row r="1687" spans="1:14" x14ac:dyDescent="0.2">
      <c r="A1687" s="173"/>
      <c r="B1687" s="174"/>
      <c r="C1687" s="175"/>
      <c r="D1687" s="176"/>
      <c r="E1687" s="176"/>
      <c r="F1687" s="176"/>
      <c r="G1687" s="176"/>
      <c r="H1687" s="250"/>
      <c r="I1687" s="184" t="s">
        <v>2216</v>
      </c>
      <c r="J1687" s="272" t="s">
        <v>1434</v>
      </c>
      <c r="K1687" s="214">
        <f t="shared" si="39"/>
        <v>555</v>
      </c>
      <c r="L1687" s="197"/>
      <c r="M1687" s="181"/>
    </row>
    <row r="1688" spans="1:14" x14ac:dyDescent="0.2">
      <c r="A1688" s="173"/>
      <c r="B1688" s="174"/>
      <c r="C1688" s="175"/>
      <c r="D1688" s="176"/>
      <c r="E1688" s="176"/>
      <c r="F1688" s="176"/>
      <c r="G1688" s="176"/>
      <c r="H1688" s="250"/>
      <c r="I1688" s="184" t="s">
        <v>2217</v>
      </c>
      <c r="J1688" s="272" t="s">
        <v>1434</v>
      </c>
      <c r="K1688" s="214">
        <f t="shared" si="39"/>
        <v>555</v>
      </c>
      <c r="L1688" s="197"/>
      <c r="M1688" s="181"/>
    </row>
    <row r="1689" spans="1:14" x14ac:dyDescent="0.2">
      <c r="A1689" s="185"/>
      <c r="B1689" s="186"/>
      <c r="C1689" s="187"/>
      <c r="D1689" s="188"/>
      <c r="E1689" s="188"/>
      <c r="F1689" s="188"/>
      <c r="G1689" s="188"/>
      <c r="H1689" s="251"/>
      <c r="I1689" s="202"/>
      <c r="J1689" s="275"/>
      <c r="K1689" s="247">
        <f>SUM(K1682:K1688)</f>
        <v>11100</v>
      </c>
      <c r="L1689" s="205"/>
      <c r="M1689" s="193"/>
    </row>
    <row r="1690" spans="1:14" x14ac:dyDescent="0.2">
      <c r="A1690" s="163">
        <v>407</v>
      </c>
      <c r="B1690" s="164" t="s">
        <v>2218</v>
      </c>
      <c r="C1690" s="165"/>
      <c r="D1690" s="166" t="s">
        <v>107</v>
      </c>
      <c r="E1690" s="166"/>
      <c r="F1690" s="166"/>
      <c r="G1690" s="166"/>
      <c r="H1690" s="248"/>
      <c r="I1690" s="276" t="s">
        <v>2219</v>
      </c>
      <c r="J1690" s="277" t="s">
        <v>1434</v>
      </c>
      <c r="K1690" s="278">
        <f>3600*70%</f>
        <v>2520</v>
      </c>
      <c r="L1690" s="195" t="s">
        <v>111</v>
      </c>
      <c r="M1690" s="171" t="s">
        <v>2220</v>
      </c>
    </row>
    <row r="1691" spans="1:14" x14ac:dyDescent="0.2">
      <c r="A1691" s="173"/>
      <c r="B1691" s="174"/>
      <c r="C1691" s="175"/>
      <c r="D1691" s="176"/>
      <c r="E1691" s="176"/>
      <c r="F1691" s="176"/>
      <c r="G1691" s="176"/>
      <c r="H1691" s="250"/>
      <c r="I1691" s="184" t="s">
        <v>2221</v>
      </c>
      <c r="J1691" s="272" t="s">
        <v>771</v>
      </c>
      <c r="K1691" s="214">
        <f>3600*10%</f>
        <v>360</v>
      </c>
      <c r="L1691" s="197"/>
      <c r="M1691" s="181"/>
      <c r="N1691" s="172"/>
    </row>
    <row r="1692" spans="1:14" x14ac:dyDescent="0.2">
      <c r="A1692" s="173"/>
      <c r="B1692" s="174"/>
      <c r="C1692" s="175"/>
      <c r="D1692" s="176"/>
      <c r="E1692" s="176"/>
      <c r="F1692" s="176"/>
      <c r="G1692" s="176"/>
      <c r="H1692" s="250"/>
      <c r="I1692" s="184" t="s">
        <v>2222</v>
      </c>
      <c r="J1692" s="272" t="s">
        <v>662</v>
      </c>
      <c r="K1692" s="214">
        <f>3600*5%</f>
        <v>180</v>
      </c>
      <c r="L1692" s="197"/>
      <c r="M1692" s="181"/>
    </row>
    <row r="1693" spans="1:14" x14ac:dyDescent="0.2">
      <c r="A1693" s="173"/>
      <c r="B1693" s="174"/>
      <c r="C1693" s="175"/>
      <c r="D1693" s="176"/>
      <c r="E1693" s="176"/>
      <c r="F1693" s="176"/>
      <c r="G1693" s="176"/>
      <c r="H1693" s="250"/>
      <c r="I1693" s="184" t="s">
        <v>2223</v>
      </c>
      <c r="J1693" s="272" t="s">
        <v>190</v>
      </c>
      <c r="K1693" s="214">
        <f>3600*5%</f>
        <v>180</v>
      </c>
      <c r="L1693" s="197"/>
      <c r="M1693" s="181"/>
    </row>
    <row r="1694" spans="1:14" x14ac:dyDescent="0.2">
      <c r="A1694" s="173"/>
      <c r="B1694" s="174"/>
      <c r="C1694" s="175"/>
      <c r="D1694" s="176"/>
      <c r="E1694" s="176"/>
      <c r="F1694" s="176"/>
      <c r="G1694" s="176"/>
      <c r="H1694" s="250"/>
      <c r="I1694" s="184" t="s">
        <v>2224</v>
      </c>
      <c r="J1694" s="272" t="s">
        <v>1434</v>
      </c>
      <c r="K1694" s="214">
        <f>3600*5%</f>
        <v>180</v>
      </c>
      <c r="L1694" s="197"/>
      <c r="M1694" s="181"/>
    </row>
    <row r="1695" spans="1:14" x14ac:dyDescent="0.2">
      <c r="A1695" s="173"/>
      <c r="B1695" s="174"/>
      <c r="C1695" s="175"/>
      <c r="D1695" s="176"/>
      <c r="E1695" s="176"/>
      <c r="F1695" s="176"/>
      <c r="G1695" s="176"/>
      <c r="H1695" s="250"/>
      <c r="I1695" s="184" t="s">
        <v>2225</v>
      </c>
      <c r="J1695" s="272" t="s">
        <v>2226</v>
      </c>
      <c r="K1695" s="214">
        <f>3600*5%</f>
        <v>180</v>
      </c>
      <c r="L1695" s="197"/>
      <c r="M1695" s="181"/>
    </row>
    <row r="1696" spans="1:14" x14ac:dyDescent="0.2">
      <c r="A1696" s="185"/>
      <c r="B1696" s="186"/>
      <c r="C1696" s="187"/>
      <c r="D1696" s="188"/>
      <c r="E1696" s="188"/>
      <c r="F1696" s="188"/>
      <c r="G1696" s="188"/>
      <c r="H1696" s="251"/>
      <c r="I1696" s="177"/>
      <c r="J1696" s="300"/>
      <c r="K1696" s="196">
        <f>SUM(K1690:K1695)</f>
        <v>3600</v>
      </c>
      <c r="L1696" s="205"/>
      <c r="M1696" s="193"/>
    </row>
    <row r="1697" spans="1:13" x14ac:dyDescent="0.2">
      <c r="A1697" s="163">
        <v>408</v>
      </c>
      <c r="B1697" s="164" t="s">
        <v>2227</v>
      </c>
      <c r="C1697" s="165"/>
      <c r="D1697" s="166" t="s">
        <v>107</v>
      </c>
      <c r="E1697" s="166"/>
      <c r="F1697" s="166"/>
      <c r="G1697" s="166"/>
      <c r="H1697" s="248"/>
      <c r="I1697" s="217" t="s">
        <v>2228</v>
      </c>
      <c r="J1697" s="267" t="s">
        <v>1434</v>
      </c>
      <c r="K1697" s="268">
        <f>9000*90%</f>
        <v>8100</v>
      </c>
      <c r="L1697" s="195" t="s">
        <v>111</v>
      </c>
      <c r="M1697" s="171" t="s">
        <v>2229</v>
      </c>
    </row>
    <row r="1698" spans="1:13" x14ac:dyDescent="0.2">
      <c r="A1698" s="173"/>
      <c r="B1698" s="174"/>
      <c r="C1698" s="175"/>
      <c r="D1698" s="176"/>
      <c r="E1698" s="176"/>
      <c r="F1698" s="176"/>
      <c r="G1698" s="176"/>
      <c r="H1698" s="250"/>
      <c r="I1698" s="184" t="s">
        <v>2221</v>
      </c>
      <c r="J1698" s="272" t="s">
        <v>771</v>
      </c>
      <c r="K1698" s="214">
        <f>9000*10%</f>
        <v>900</v>
      </c>
      <c r="L1698" s="197"/>
      <c r="M1698" s="181"/>
    </row>
    <row r="1699" spans="1:13" x14ac:dyDescent="0.2">
      <c r="A1699" s="185"/>
      <c r="B1699" s="186"/>
      <c r="C1699" s="187"/>
      <c r="D1699" s="188"/>
      <c r="E1699" s="188"/>
      <c r="F1699" s="188"/>
      <c r="G1699" s="188"/>
      <c r="H1699" s="251"/>
      <c r="I1699" s="202"/>
      <c r="J1699" s="275"/>
      <c r="K1699" s="247">
        <f>SUM(K1697:K1698)</f>
        <v>9000</v>
      </c>
      <c r="L1699" s="205"/>
      <c r="M1699" s="193"/>
    </row>
    <row r="1700" spans="1:13" x14ac:dyDescent="0.2">
      <c r="A1700" s="163">
        <v>409</v>
      </c>
      <c r="B1700" s="164" t="s">
        <v>2230</v>
      </c>
      <c r="C1700" s="165"/>
      <c r="D1700" s="166" t="s">
        <v>107</v>
      </c>
      <c r="E1700" s="166"/>
      <c r="F1700" s="166"/>
      <c r="G1700" s="166"/>
      <c r="H1700" s="248"/>
      <c r="I1700" s="276" t="s">
        <v>2231</v>
      </c>
      <c r="J1700" s="277" t="s">
        <v>1434</v>
      </c>
      <c r="K1700" s="278">
        <f>6000*70%</f>
        <v>4200</v>
      </c>
      <c r="L1700" s="195" t="s">
        <v>111</v>
      </c>
      <c r="M1700" s="171" t="s">
        <v>2232</v>
      </c>
    </row>
    <row r="1701" spans="1:13" x14ac:dyDescent="0.2">
      <c r="A1701" s="173"/>
      <c r="B1701" s="174"/>
      <c r="C1701" s="175"/>
      <c r="D1701" s="176"/>
      <c r="E1701" s="176"/>
      <c r="F1701" s="176"/>
      <c r="G1701" s="176"/>
      <c r="H1701" s="250"/>
      <c r="I1701" s="184" t="s">
        <v>2233</v>
      </c>
      <c r="J1701" s="272" t="s">
        <v>1434</v>
      </c>
      <c r="K1701" s="214">
        <f>6000*30%</f>
        <v>1800</v>
      </c>
      <c r="L1701" s="197"/>
      <c r="M1701" s="181"/>
    </row>
    <row r="1702" spans="1:13" x14ac:dyDescent="0.2">
      <c r="A1702" s="185"/>
      <c r="B1702" s="186"/>
      <c r="C1702" s="187"/>
      <c r="D1702" s="188"/>
      <c r="E1702" s="188"/>
      <c r="F1702" s="188"/>
      <c r="G1702" s="188"/>
      <c r="H1702" s="251"/>
      <c r="I1702" s="177"/>
      <c r="J1702" s="300"/>
      <c r="K1702" s="196">
        <f>SUM(K1700:K1701)</f>
        <v>6000</v>
      </c>
      <c r="L1702" s="205"/>
      <c r="M1702" s="193"/>
    </row>
    <row r="1703" spans="1:13" x14ac:dyDescent="0.2">
      <c r="A1703" s="163">
        <v>410</v>
      </c>
      <c r="B1703" s="164" t="s">
        <v>2234</v>
      </c>
      <c r="C1703" s="165"/>
      <c r="D1703" s="166" t="s">
        <v>107</v>
      </c>
      <c r="E1703" s="166"/>
      <c r="F1703" s="166"/>
      <c r="G1703" s="166"/>
      <c r="H1703" s="248" t="s">
        <v>108</v>
      </c>
      <c r="I1703" s="217" t="s">
        <v>2235</v>
      </c>
      <c r="J1703" s="267" t="s">
        <v>1434</v>
      </c>
      <c r="K1703" s="268">
        <f>13500*50%</f>
        <v>6750</v>
      </c>
      <c r="L1703" s="195" t="s">
        <v>111</v>
      </c>
      <c r="M1703" s="171" t="s">
        <v>2236</v>
      </c>
    </row>
    <row r="1704" spans="1:13" x14ac:dyDescent="0.2">
      <c r="A1704" s="173"/>
      <c r="B1704" s="174"/>
      <c r="C1704" s="175"/>
      <c r="D1704" s="176"/>
      <c r="E1704" s="176"/>
      <c r="F1704" s="176"/>
      <c r="G1704" s="176"/>
      <c r="H1704" s="250"/>
      <c r="I1704" s="184" t="s">
        <v>2134</v>
      </c>
      <c r="J1704" s="272" t="s">
        <v>1434</v>
      </c>
      <c r="K1704" s="214">
        <f>13500*20%</f>
        <v>2700</v>
      </c>
      <c r="L1704" s="197"/>
      <c r="M1704" s="181"/>
    </row>
    <row r="1705" spans="1:13" x14ac:dyDescent="0.2">
      <c r="A1705" s="173"/>
      <c r="B1705" s="174"/>
      <c r="C1705" s="175"/>
      <c r="D1705" s="176"/>
      <c r="E1705" s="176"/>
      <c r="F1705" s="176"/>
      <c r="G1705" s="176"/>
      <c r="H1705" s="250"/>
      <c r="I1705" s="184" t="s">
        <v>2237</v>
      </c>
      <c r="J1705" s="272" t="s">
        <v>1272</v>
      </c>
      <c r="K1705" s="214">
        <f>13500*20%</f>
        <v>2700</v>
      </c>
      <c r="L1705" s="197"/>
      <c r="M1705" s="181"/>
    </row>
    <row r="1706" spans="1:13" x14ac:dyDescent="0.2">
      <c r="A1706" s="173"/>
      <c r="B1706" s="174"/>
      <c r="C1706" s="175"/>
      <c r="D1706" s="176"/>
      <c r="E1706" s="176"/>
      <c r="F1706" s="176"/>
      <c r="G1706" s="176"/>
      <c r="H1706" s="250"/>
      <c r="I1706" s="184" t="s">
        <v>2238</v>
      </c>
      <c r="J1706" s="272" t="s">
        <v>1434</v>
      </c>
      <c r="K1706" s="214">
        <f>13500*10%</f>
        <v>1350</v>
      </c>
      <c r="L1706" s="197"/>
      <c r="M1706" s="181"/>
    </row>
    <row r="1707" spans="1:13" x14ac:dyDescent="0.2">
      <c r="A1707" s="185"/>
      <c r="B1707" s="186"/>
      <c r="C1707" s="187"/>
      <c r="D1707" s="188"/>
      <c r="E1707" s="188"/>
      <c r="F1707" s="188"/>
      <c r="G1707" s="188"/>
      <c r="H1707" s="251"/>
      <c r="I1707" s="202"/>
      <c r="J1707" s="275"/>
      <c r="K1707" s="247">
        <f>SUM(K1703:K1706)</f>
        <v>13500</v>
      </c>
      <c r="L1707" s="205"/>
      <c r="M1707" s="193"/>
    </row>
    <row r="1708" spans="1:13" x14ac:dyDescent="0.2">
      <c r="A1708" s="163">
        <v>411</v>
      </c>
      <c r="B1708" s="164" t="s">
        <v>2239</v>
      </c>
      <c r="C1708" s="165"/>
      <c r="D1708" s="166" t="s">
        <v>107</v>
      </c>
      <c r="E1708" s="166"/>
      <c r="F1708" s="166"/>
      <c r="G1708" s="166"/>
      <c r="H1708" s="248"/>
      <c r="I1708" s="217" t="s">
        <v>2240</v>
      </c>
      <c r="J1708" s="267" t="s">
        <v>1434</v>
      </c>
      <c r="K1708" s="268">
        <f>15000*70%</f>
        <v>10500</v>
      </c>
      <c r="L1708" s="195" t="s">
        <v>111</v>
      </c>
      <c r="M1708" s="171" t="s">
        <v>2241</v>
      </c>
    </row>
    <row r="1709" spans="1:13" x14ac:dyDescent="0.2">
      <c r="A1709" s="173"/>
      <c r="B1709" s="174"/>
      <c r="C1709" s="175"/>
      <c r="D1709" s="176"/>
      <c r="E1709" s="176"/>
      <c r="F1709" s="176"/>
      <c r="G1709" s="176"/>
      <c r="H1709" s="250"/>
      <c r="I1709" s="184" t="s">
        <v>582</v>
      </c>
      <c r="J1709" s="272" t="s">
        <v>1434</v>
      </c>
      <c r="K1709" s="214">
        <f t="shared" ref="K1709:K1714" si="40">15000*5%</f>
        <v>750</v>
      </c>
      <c r="L1709" s="197"/>
      <c r="M1709" s="181"/>
    </row>
    <row r="1710" spans="1:13" x14ac:dyDescent="0.2">
      <c r="A1710" s="173"/>
      <c r="B1710" s="174"/>
      <c r="C1710" s="175"/>
      <c r="D1710" s="176"/>
      <c r="E1710" s="176"/>
      <c r="F1710" s="176"/>
      <c r="G1710" s="176"/>
      <c r="H1710" s="250"/>
      <c r="I1710" s="184" t="s">
        <v>2214</v>
      </c>
      <c r="J1710" s="272" t="s">
        <v>1434</v>
      </c>
      <c r="K1710" s="214">
        <f t="shared" si="40"/>
        <v>750</v>
      </c>
      <c r="L1710" s="197"/>
      <c r="M1710" s="181"/>
    </row>
    <row r="1711" spans="1:13" x14ac:dyDescent="0.2">
      <c r="A1711" s="173"/>
      <c r="B1711" s="174"/>
      <c r="C1711" s="175"/>
      <c r="D1711" s="176"/>
      <c r="E1711" s="176"/>
      <c r="F1711" s="176"/>
      <c r="G1711" s="176"/>
      <c r="H1711" s="250"/>
      <c r="I1711" s="184" t="s">
        <v>2242</v>
      </c>
      <c r="J1711" s="272" t="s">
        <v>1434</v>
      </c>
      <c r="K1711" s="214">
        <f t="shared" si="40"/>
        <v>750</v>
      </c>
      <c r="L1711" s="197"/>
      <c r="M1711" s="181"/>
    </row>
    <row r="1712" spans="1:13" x14ac:dyDescent="0.2">
      <c r="A1712" s="173"/>
      <c r="B1712" s="174"/>
      <c r="C1712" s="175"/>
      <c r="D1712" s="176"/>
      <c r="E1712" s="176"/>
      <c r="F1712" s="176"/>
      <c r="G1712" s="176"/>
      <c r="H1712" s="250"/>
      <c r="I1712" s="184" t="s">
        <v>2217</v>
      </c>
      <c r="J1712" s="272" t="s">
        <v>1434</v>
      </c>
      <c r="K1712" s="214">
        <f t="shared" si="40"/>
        <v>750</v>
      </c>
      <c r="L1712" s="197"/>
      <c r="M1712" s="181"/>
    </row>
    <row r="1713" spans="1:13" x14ac:dyDescent="0.2">
      <c r="A1713" s="173"/>
      <c r="B1713" s="174"/>
      <c r="C1713" s="175"/>
      <c r="D1713" s="176"/>
      <c r="E1713" s="176"/>
      <c r="F1713" s="176"/>
      <c r="G1713" s="176"/>
      <c r="H1713" s="250"/>
      <c r="I1713" s="184" t="s">
        <v>2215</v>
      </c>
      <c r="J1713" s="272" t="s">
        <v>1434</v>
      </c>
      <c r="K1713" s="214">
        <f t="shared" si="40"/>
        <v>750</v>
      </c>
      <c r="L1713" s="197"/>
      <c r="M1713" s="181"/>
    </row>
    <row r="1714" spans="1:13" x14ac:dyDescent="0.2">
      <c r="A1714" s="173"/>
      <c r="B1714" s="174"/>
      <c r="C1714" s="175"/>
      <c r="D1714" s="176"/>
      <c r="E1714" s="176"/>
      <c r="F1714" s="176"/>
      <c r="G1714" s="176"/>
      <c r="H1714" s="250"/>
      <c r="I1714" s="184" t="s">
        <v>2216</v>
      </c>
      <c r="J1714" s="272" t="s">
        <v>1434</v>
      </c>
      <c r="K1714" s="214">
        <f t="shared" si="40"/>
        <v>750</v>
      </c>
      <c r="L1714" s="197"/>
      <c r="M1714" s="181"/>
    </row>
    <row r="1715" spans="1:13" x14ac:dyDescent="0.2">
      <c r="A1715" s="185"/>
      <c r="B1715" s="186"/>
      <c r="C1715" s="187"/>
      <c r="D1715" s="188"/>
      <c r="E1715" s="188"/>
      <c r="F1715" s="188"/>
      <c r="G1715" s="188"/>
      <c r="H1715" s="251"/>
      <c r="I1715" s="202"/>
      <c r="J1715" s="275"/>
      <c r="K1715" s="247">
        <f>SUM(K1708:K1714)</f>
        <v>15000</v>
      </c>
      <c r="L1715" s="205"/>
      <c r="M1715" s="193"/>
    </row>
    <row r="1716" spans="1:13" x14ac:dyDescent="0.2">
      <c r="A1716" s="163">
        <v>412</v>
      </c>
      <c r="B1716" s="164" t="s">
        <v>2243</v>
      </c>
      <c r="C1716" s="165"/>
      <c r="D1716" s="166" t="s">
        <v>163</v>
      </c>
      <c r="E1716" s="166"/>
      <c r="F1716" s="166"/>
      <c r="G1716" s="166"/>
      <c r="H1716" s="248"/>
      <c r="I1716" s="217" t="s">
        <v>2244</v>
      </c>
      <c r="J1716" s="267" t="s">
        <v>1434</v>
      </c>
      <c r="K1716" s="268">
        <f>530000*60%</f>
        <v>318000</v>
      </c>
      <c r="L1716" s="195" t="s">
        <v>166</v>
      </c>
      <c r="M1716" s="171" t="s">
        <v>2245</v>
      </c>
    </row>
    <row r="1717" spans="1:13" x14ac:dyDescent="0.2">
      <c r="A1717" s="173"/>
      <c r="B1717" s="174"/>
      <c r="C1717" s="175"/>
      <c r="D1717" s="176"/>
      <c r="E1717" s="176"/>
      <c r="F1717" s="176"/>
      <c r="G1717" s="176"/>
      <c r="H1717" s="250"/>
      <c r="I1717" s="184" t="s">
        <v>2246</v>
      </c>
      <c r="J1717" s="272" t="s">
        <v>1272</v>
      </c>
      <c r="K1717" s="214">
        <f>530000*10%</f>
        <v>53000</v>
      </c>
      <c r="L1717" s="197"/>
      <c r="M1717" s="181"/>
    </row>
    <row r="1718" spans="1:13" x14ac:dyDescent="0.2">
      <c r="A1718" s="173"/>
      <c r="B1718" s="174"/>
      <c r="C1718" s="175"/>
      <c r="D1718" s="176"/>
      <c r="E1718" s="176"/>
      <c r="F1718" s="176"/>
      <c r="G1718" s="176"/>
      <c r="H1718" s="250"/>
      <c r="I1718" s="184" t="s">
        <v>2247</v>
      </c>
      <c r="J1718" s="272" t="s">
        <v>1116</v>
      </c>
      <c r="K1718" s="214">
        <f>530000*10%</f>
        <v>53000</v>
      </c>
      <c r="L1718" s="197"/>
      <c r="M1718" s="181"/>
    </row>
    <row r="1719" spans="1:13" x14ac:dyDescent="0.2">
      <c r="A1719" s="173"/>
      <c r="B1719" s="174"/>
      <c r="C1719" s="175"/>
      <c r="D1719" s="176"/>
      <c r="E1719" s="176"/>
      <c r="F1719" s="176"/>
      <c r="G1719" s="176"/>
      <c r="H1719" s="250"/>
      <c r="I1719" s="184" t="s">
        <v>578</v>
      </c>
      <c r="J1719" s="272" t="s">
        <v>1434</v>
      </c>
      <c r="K1719" s="214">
        <f>530000*5%</f>
        <v>26500</v>
      </c>
      <c r="L1719" s="197"/>
      <c r="M1719" s="181"/>
    </row>
    <row r="1720" spans="1:13" x14ac:dyDescent="0.2">
      <c r="A1720" s="173"/>
      <c r="B1720" s="174"/>
      <c r="C1720" s="175"/>
      <c r="D1720" s="176"/>
      <c r="E1720" s="176"/>
      <c r="F1720" s="176"/>
      <c r="G1720" s="176"/>
      <c r="H1720" s="250"/>
      <c r="I1720" s="184" t="s">
        <v>2224</v>
      </c>
      <c r="J1720" s="272" t="s">
        <v>1434</v>
      </c>
      <c r="K1720" s="214">
        <f>530000*5%</f>
        <v>26500</v>
      </c>
      <c r="L1720" s="197"/>
      <c r="M1720" s="181"/>
    </row>
    <row r="1721" spans="1:13" x14ac:dyDescent="0.2">
      <c r="A1721" s="173"/>
      <c r="B1721" s="174"/>
      <c r="C1721" s="175"/>
      <c r="D1721" s="176"/>
      <c r="E1721" s="176"/>
      <c r="F1721" s="176"/>
      <c r="G1721" s="176"/>
      <c r="H1721" s="250"/>
      <c r="I1721" s="184" t="s">
        <v>2248</v>
      </c>
      <c r="J1721" s="272" t="s">
        <v>1434</v>
      </c>
      <c r="K1721" s="214">
        <f>530000*5%</f>
        <v>26500</v>
      </c>
      <c r="L1721" s="197"/>
      <c r="M1721" s="181"/>
    </row>
    <row r="1722" spans="1:13" x14ac:dyDescent="0.2">
      <c r="A1722" s="185"/>
      <c r="B1722" s="186"/>
      <c r="C1722" s="187"/>
      <c r="D1722" s="188"/>
      <c r="E1722" s="188"/>
      <c r="F1722" s="188"/>
      <c r="G1722" s="188"/>
      <c r="H1722" s="251"/>
      <c r="I1722" s="202"/>
      <c r="J1722" s="275"/>
      <c r="K1722" s="247">
        <f>SUM(K1716:K1721)</f>
        <v>503500</v>
      </c>
      <c r="L1722" s="205"/>
      <c r="M1722" s="193"/>
    </row>
    <row r="1723" spans="1:13" x14ac:dyDescent="0.2">
      <c r="A1723" s="163">
        <v>413</v>
      </c>
      <c r="B1723" s="164" t="s">
        <v>2249</v>
      </c>
      <c r="C1723" s="165"/>
      <c r="D1723" s="166" t="s">
        <v>163</v>
      </c>
      <c r="E1723" s="166"/>
      <c r="F1723" s="166"/>
      <c r="G1723" s="166"/>
      <c r="H1723" s="248"/>
      <c r="I1723" s="276" t="s">
        <v>2250</v>
      </c>
      <c r="J1723" s="277" t="s">
        <v>1434</v>
      </c>
      <c r="K1723" s="278">
        <f>530000*50%</f>
        <v>265000</v>
      </c>
      <c r="L1723" s="195" t="s">
        <v>166</v>
      </c>
      <c r="M1723" s="171" t="s">
        <v>2251</v>
      </c>
    </row>
    <row r="1724" spans="1:13" x14ac:dyDescent="0.2">
      <c r="A1724" s="173"/>
      <c r="B1724" s="174"/>
      <c r="C1724" s="175"/>
      <c r="D1724" s="176"/>
      <c r="E1724" s="176"/>
      <c r="F1724" s="176"/>
      <c r="G1724" s="176"/>
      <c r="H1724" s="250"/>
      <c r="I1724" s="184" t="s">
        <v>2252</v>
      </c>
      <c r="J1724" s="272" t="s">
        <v>1434</v>
      </c>
      <c r="K1724" s="214">
        <f>530000*50%</f>
        <v>265000</v>
      </c>
      <c r="L1724" s="197"/>
      <c r="M1724" s="181"/>
    </row>
    <row r="1725" spans="1:13" x14ac:dyDescent="0.2">
      <c r="A1725" s="185"/>
      <c r="B1725" s="186"/>
      <c r="C1725" s="187"/>
      <c r="D1725" s="188"/>
      <c r="E1725" s="188"/>
      <c r="F1725" s="188"/>
      <c r="G1725" s="188"/>
      <c r="H1725" s="251"/>
      <c r="I1725" s="177"/>
      <c r="J1725" s="300"/>
      <c r="K1725" s="196">
        <f>SUM(K1723:K1724)</f>
        <v>530000</v>
      </c>
      <c r="L1725" s="205"/>
      <c r="M1725" s="193"/>
    </row>
    <row r="1726" spans="1:13" x14ac:dyDescent="0.2">
      <c r="A1726" s="163">
        <v>414</v>
      </c>
      <c r="B1726" s="164" t="s">
        <v>2253</v>
      </c>
      <c r="C1726" s="165"/>
      <c r="D1726" s="166" t="s">
        <v>163</v>
      </c>
      <c r="E1726" s="166"/>
      <c r="F1726" s="166"/>
      <c r="G1726" s="166"/>
      <c r="H1726" s="248"/>
      <c r="I1726" s="217" t="s">
        <v>2244</v>
      </c>
      <c r="J1726" s="267" t="s">
        <v>1434</v>
      </c>
      <c r="K1726" s="268">
        <f>530000*60%</f>
        <v>318000</v>
      </c>
      <c r="L1726" s="195" t="s">
        <v>166</v>
      </c>
      <c r="M1726" s="171" t="s">
        <v>2254</v>
      </c>
    </row>
    <row r="1727" spans="1:13" x14ac:dyDescent="0.2">
      <c r="A1727" s="173"/>
      <c r="B1727" s="174"/>
      <c r="C1727" s="175"/>
      <c r="D1727" s="176"/>
      <c r="E1727" s="176"/>
      <c r="F1727" s="176"/>
      <c r="G1727" s="176"/>
      <c r="H1727" s="250"/>
      <c r="I1727" s="184" t="s">
        <v>2255</v>
      </c>
      <c r="J1727" s="272" t="s">
        <v>1272</v>
      </c>
      <c r="K1727" s="214">
        <f>530000*15%</f>
        <v>79500</v>
      </c>
      <c r="L1727" s="197"/>
      <c r="M1727" s="181"/>
    </row>
    <row r="1728" spans="1:13" x14ac:dyDescent="0.2">
      <c r="A1728" s="173"/>
      <c r="B1728" s="174"/>
      <c r="C1728" s="175"/>
      <c r="D1728" s="176"/>
      <c r="E1728" s="176"/>
      <c r="F1728" s="176"/>
      <c r="G1728" s="176"/>
      <c r="H1728" s="250"/>
      <c r="I1728" s="184" t="s">
        <v>2247</v>
      </c>
      <c r="J1728" s="272" t="s">
        <v>1116</v>
      </c>
      <c r="K1728" s="214">
        <f>530000*10%</f>
        <v>53000</v>
      </c>
      <c r="L1728" s="197"/>
      <c r="M1728" s="181"/>
    </row>
    <row r="1729" spans="1:13" x14ac:dyDescent="0.2">
      <c r="A1729" s="173"/>
      <c r="B1729" s="174"/>
      <c r="C1729" s="175"/>
      <c r="D1729" s="176"/>
      <c r="E1729" s="176"/>
      <c r="F1729" s="176"/>
      <c r="G1729" s="176"/>
      <c r="H1729" s="250"/>
      <c r="I1729" s="184" t="s">
        <v>2256</v>
      </c>
      <c r="J1729" s="272" t="s">
        <v>1434</v>
      </c>
      <c r="K1729" s="214">
        <f>530000*5%</f>
        <v>26500</v>
      </c>
      <c r="L1729" s="197"/>
      <c r="M1729" s="181"/>
    </row>
    <row r="1730" spans="1:13" x14ac:dyDescent="0.2">
      <c r="A1730" s="173"/>
      <c r="B1730" s="174"/>
      <c r="C1730" s="175"/>
      <c r="D1730" s="176"/>
      <c r="E1730" s="176"/>
      <c r="F1730" s="176"/>
      <c r="G1730" s="176"/>
      <c r="H1730" s="250"/>
      <c r="I1730" s="184" t="s">
        <v>2257</v>
      </c>
      <c r="J1730" s="272" t="s">
        <v>1434</v>
      </c>
      <c r="K1730" s="214">
        <f>530000*5%</f>
        <v>26500</v>
      </c>
      <c r="L1730" s="197"/>
      <c r="M1730" s="181"/>
    </row>
    <row r="1731" spans="1:13" x14ac:dyDescent="0.2">
      <c r="A1731" s="173"/>
      <c r="B1731" s="174"/>
      <c r="C1731" s="175"/>
      <c r="D1731" s="176"/>
      <c r="E1731" s="176"/>
      <c r="F1731" s="176"/>
      <c r="G1731" s="176"/>
      <c r="H1731" s="250"/>
      <c r="I1731" s="184" t="s">
        <v>2258</v>
      </c>
      <c r="J1731" s="272" t="s">
        <v>1434</v>
      </c>
      <c r="K1731" s="214">
        <f>530000*5%</f>
        <v>26500</v>
      </c>
      <c r="L1731" s="197"/>
      <c r="M1731" s="181"/>
    </row>
    <row r="1732" spans="1:13" x14ac:dyDescent="0.2">
      <c r="A1732" s="185"/>
      <c r="B1732" s="186"/>
      <c r="C1732" s="187"/>
      <c r="D1732" s="188"/>
      <c r="E1732" s="188"/>
      <c r="F1732" s="188"/>
      <c r="G1732" s="188"/>
      <c r="H1732" s="251"/>
      <c r="I1732" s="202"/>
      <c r="J1732" s="275"/>
      <c r="K1732" s="247">
        <f>SUM(K1726:K1731)</f>
        <v>530000</v>
      </c>
      <c r="L1732" s="205"/>
      <c r="M1732" s="193"/>
    </row>
    <row r="1733" spans="1:13" x14ac:dyDescent="0.2">
      <c r="A1733" s="163">
        <v>415</v>
      </c>
      <c r="B1733" s="164" t="s">
        <v>2259</v>
      </c>
      <c r="C1733" s="165"/>
      <c r="D1733" s="166" t="s">
        <v>163</v>
      </c>
      <c r="E1733" s="166"/>
      <c r="F1733" s="166"/>
      <c r="G1733" s="166"/>
      <c r="H1733" s="248"/>
      <c r="I1733" s="276" t="s">
        <v>2260</v>
      </c>
      <c r="J1733" s="277" t="s">
        <v>1434</v>
      </c>
      <c r="K1733" s="278">
        <f>530000*85%</f>
        <v>450500</v>
      </c>
      <c r="L1733" s="195" t="s">
        <v>166</v>
      </c>
      <c r="M1733" s="171" t="s">
        <v>2261</v>
      </c>
    </row>
    <row r="1734" spans="1:13" x14ac:dyDescent="0.2">
      <c r="A1734" s="173"/>
      <c r="B1734" s="174"/>
      <c r="C1734" s="175"/>
      <c r="D1734" s="176"/>
      <c r="E1734" s="176"/>
      <c r="F1734" s="176"/>
      <c r="G1734" s="176"/>
      <c r="H1734" s="250"/>
      <c r="I1734" s="184" t="s">
        <v>2262</v>
      </c>
      <c r="J1734" s="272" t="s">
        <v>1434</v>
      </c>
      <c r="K1734" s="214">
        <f>530000*5%</f>
        <v>26500</v>
      </c>
      <c r="L1734" s="197"/>
      <c r="M1734" s="181"/>
    </row>
    <row r="1735" spans="1:13" x14ac:dyDescent="0.2">
      <c r="A1735" s="173"/>
      <c r="B1735" s="174"/>
      <c r="C1735" s="175"/>
      <c r="D1735" s="176"/>
      <c r="E1735" s="176"/>
      <c r="F1735" s="176"/>
      <c r="G1735" s="176"/>
      <c r="H1735" s="250"/>
      <c r="I1735" s="184" t="s">
        <v>2263</v>
      </c>
      <c r="J1735" s="272" t="s">
        <v>1116</v>
      </c>
      <c r="K1735" s="214">
        <f>530000*5%</f>
        <v>26500</v>
      </c>
      <c r="L1735" s="197"/>
      <c r="M1735" s="181"/>
    </row>
    <row r="1736" spans="1:13" x14ac:dyDescent="0.2">
      <c r="A1736" s="173"/>
      <c r="B1736" s="174"/>
      <c r="C1736" s="175"/>
      <c r="D1736" s="176"/>
      <c r="E1736" s="176"/>
      <c r="F1736" s="176"/>
      <c r="G1736" s="176"/>
      <c r="H1736" s="250"/>
      <c r="I1736" s="184" t="s">
        <v>2224</v>
      </c>
      <c r="J1736" s="272" t="s">
        <v>1434</v>
      </c>
      <c r="K1736" s="214">
        <f>530000*5%</f>
        <v>26500</v>
      </c>
      <c r="L1736" s="197"/>
      <c r="M1736" s="181"/>
    </row>
    <row r="1737" spans="1:13" x14ac:dyDescent="0.2">
      <c r="A1737" s="185"/>
      <c r="B1737" s="186"/>
      <c r="C1737" s="187"/>
      <c r="D1737" s="188"/>
      <c r="E1737" s="188"/>
      <c r="F1737" s="188"/>
      <c r="G1737" s="188"/>
      <c r="H1737" s="251"/>
      <c r="I1737" s="177"/>
      <c r="J1737" s="300"/>
      <c r="K1737" s="196">
        <f>SUM(K1733:K1736)</f>
        <v>530000</v>
      </c>
      <c r="L1737" s="205"/>
      <c r="M1737" s="193"/>
    </row>
    <row r="1738" spans="1:13" x14ac:dyDescent="0.2">
      <c r="A1738" s="163">
        <v>416</v>
      </c>
      <c r="B1738" s="164" t="s">
        <v>2264</v>
      </c>
      <c r="C1738" s="165"/>
      <c r="D1738" s="166" t="s">
        <v>163</v>
      </c>
      <c r="E1738" s="166"/>
      <c r="F1738" s="166"/>
      <c r="G1738" s="166"/>
      <c r="H1738" s="248"/>
      <c r="I1738" s="217" t="s">
        <v>2265</v>
      </c>
      <c r="J1738" s="267" t="s">
        <v>1434</v>
      </c>
      <c r="K1738" s="268">
        <f>138105*70%</f>
        <v>96673.5</v>
      </c>
      <c r="L1738" s="195" t="s">
        <v>166</v>
      </c>
      <c r="M1738" s="171" t="s">
        <v>2266</v>
      </c>
    </row>
    <row r="1739" spans="1:13" x14ac:dyDescent="0.2">
      <c r="A1739" s="173"/>
      <c r="B1739" s="174"/>
      <c r="C1739" s="175"/>
      <c r="D1739" s="176"/>
      <c r="E1739" s="176"/>
      <c r="F1739" s="176"/>
      <c r="G1739" s="176"/>
      <c r="H1739" s="250"/>
      <c r="I1739" s="184" t="s">
        <v>1511</v>
      </c>
      <c r="J1739" s="272" t="s">
        <v>1116</v>
      </c>
      <c r="K1739" s="214">
        <f>138105*10%</f>
        <v>13810.5</v>
      </c>
      <c r="L1739" s="197"/>
      <c r="M1739" s="181"/>
    </row>
    <row r="1740" spans="1:13" x14ac:dyDescent="0.2">
      <c r="A1740" s="173"/>
      <c r="B1740" s="174"/>
      <c r="C1740" s="175"/>
      <c r="D1740" s="176"/>
      <c r="E1740" s="176"/>
      <c r="F1740" s="176"/>
      <c r="G1740" s="176"/>
      <c r="H1740" s="250"/>
      <c r="I1740" s="184" t="s">
        <v>2267</v>
      </c>
      <c r="J1740" s="272" t="s">
        <v>1434</v>
      </c>
      <c r="K1740" s="214">
        <f>138105*10%</f>
        <v>13810.5</v>
      </c>
      <c r="L1740" s="197"/>
      <c r="M1740" s="181"/>
    </row>
    <row r="1741" spans="1:13" x14ac:dyDescent="0.2">
      <c r="A1741" s="173"/>
      <c r="B1741" s="174"/>
      <c r="C1741" s="175"/>
      <c r="D1741" s="176"/>
      <c r="E1741" s="176"/>
      <c r="F1741" s="176"/>
      <c r="G1741" s="176"/>
      <c r="H1741" s="250"/>
      <c r="I1741" s="184" t="s">
        <v>2238</v>
      </c>
      <c r="J1741" s="272" t="s">
        <v>1434</v>
      </c>
      <c r="K1741" s="214">
        <f>138105*10%</f>
        <v>13810.5</v>
      </c>
      <c r="L1741" s="197"/>
      <c r="M1741" s="181"/>
    </row>
    <row r="1742" spans="1:13" x14ac:dyDescent="0.2">
      <c r="A1742" s="185"/>
      <c r="B1742" s="186"/>
      <c r="C1742" s="187"/>
      <c r="D1742" s="188"/>
      <c r="E1742" s="188"/>
      <c r="F1742" s="188"/>
      <c r="G1742" s="188"/>
      <c r="H1742" s="251"/>
      <c r="I1742" s="202"/>
      <c r="J1742" s="275"/>
      <c r="K1742" s="247">
        <f>SUM(K1738:K1741)</f>
        <v>138105</v>
      </c>
      <c r="L1742" s="205"/>
      <c r="M1742" s="193"/>
    </row>
    <row r="1743" spans="1:13" x14ac:dyDescent="0.2">
      <c r="A1743" s="163">
        <v>417</v>
      </c>
      <c r="B1743" s="164" t="s">
        <v>2268</v>
      </c>
      <c r="C1743" s="165"/>
      <c r="D1743" s="166" t="s">
        <v>163</v>
      </c>
      <c r="E1743" s="166"/>
      <c r="F1743" s="166"/>
      <c r="G1743" s="166"/>
      <c r="H1743" s="248"/>
      <c r="I1743" s="276" t="s">
        <v>2269</v>
      </c>
      <c r="J1743" s="277" t="s">
        <v>1434</v>
      </c>
      <c r="K1743" s="278">
        <f>322245*75%</f>
        <v>241683.75</v>
      </c>
      <c r="L1743" s="195" t="s">
        <v>166</v>
      </c>
      <c r="M1743" s="171" t="s">
        <v>2270</v>
      </c>
    </row>
    <row r="1744" spans="1:13" x14ac:dyDescent="0.2">
      <c r="A1744" s="173"/>
      <c r="B1744" s="174"/>
      <c r="C1744" s="175"/>
      <c r="D1744" s="176"/>
      <c r="E1744" s="176"/>
      <c r="F1744" s="176"/>
      <c r="G1744" s="176"/>
      <c r="H1744" s="250"/>
      <c r="I1744" s="184" t="s">
        <v>2271</v>
      </c>
      <c r="J1744" s="272" t="s">
        <v>1434</v>
      </c>
      <c r="K1744" s="214">
        <f>322245*5%</f>
        <v>16112.25</v>
      </c>
      <c r="L1744" s="197"/>
      <c r="M1744" s="181"/>
    </row>
    <row r="1745" spans="1:13" x14ac:dyDescent="0.2">
      <c r="A1745" s="173"/>
      <c r="B1745" s="174"/>
      <c r="C1745" s="175"/>
      <c r="D1745" s="176"/>
      <c r="E1745" s="176"/>
      <c r="F1745" s="176"/>
      <c r="G1745" s="176"/>
      <c r="H1745" s="250"/>
      <c r="I1745" s="184" t="s">
        <v>2272</v>
      </c>
      <c r="J1745" s="272" t="s">
        <v>1434</v>
      </c>
      <c r="K1745" s="214">
        <f>322245*5%</f>
        <v>16112.25</v>
      </c>
      <c r="L1745" s="197"/>
      <c r="M1745" s="181"/>
    </row>
    <row r="1746" spans="1:13" x14ac:dyDescent="0.2">
      <c r="A1746" s="173"/>
      <c r="B1746" s="174"/>
      <c r="C1746" s="175"/>
      <c r="D1746" s="176"/>
      <c r="E1746" s="176"/>
      <c r="F1746" s="176"/>
      <c r="G1746" s="176"/>
      <c r="H1746" s="250"/>
      <c r="I1746" s="184" t="s">
        <v>2273</v>
      </c>
      <c r="J1746" s="272" t="s">
        <v>1434</v>
      </c>
      <c r="K1746" s="214">
        <f>322245*5%</f>
        <v>16112.25</v>
      </c>
      <c r="L1746" s="197"/>
      <c r="M1746" s="181"/>
    </row>
    <row r="1747" spans="1:13" x14ac:dyDescent="0.2">
      <c r="A1747" s="173"/>
      <c r="B1747" s="174"/>
      <c r="C1747" s="175"/>
      <c r="D1747" s="176"/>
      <c r="E1747" s="176"/>
      <c r="F1747" s="176"/>
      <c r="G1747" s="176"/>
      <c r="H1747" s="250"/>
      <c r="I1747" s="184" t="s">
        <v>2274</v>
      </c>
      <c r="J1747" s="272" t="s">
        <v>1434</v>
      </c>
      <c r="K1747" s="214">
        <f>322245*5%</f>
        <v>16112.25</v>
      </c>
      <c r="L1747" s="197"/>
      <c r="M1747" s="181"/>
    </row>
    <row r="1748" spans="1:13" x14ac:dyDescent="0.2">
      <c r="A1748" s="173"/>
      <c r="B1748" s="174"/>
      <c r="C1748" s="175"/>
      <c r="D1748" s="176"/>
      <c r="E1748" s="176"/>
      <c r="F1748" s="176"/>
      <c r="G1748" s="176"/>
      <c r="H1748" s="250"/>
      <c r="I1748" s="184" t="s">
        <v>2275</v>
      </c>
      <c r="J1748" s="272" t="s">
        <v>1116</v>
      </c>
      <c r="K1748" s="214">
        <f>322245*5%</f>
        <v>16112.25</v>
      </c>
      <c r="L1748" s="197"/>
      <c r="M1748" s="181"/>
    </row>
    <row r="1749" spans="1:13" x14ac:dyDescent="0.2">
      <c r="A1749" s="185"/>
      <c r="B1749" s="186"/>
      <c r="C1749" s="187"/>
      <c r="D1749" s="188"/>
      <c r="E1749" s="188"/>
      <c r="F1749" s="188"/>
      <c r="G1749" s="188"/>
      <c r="H1749" s="251"/>
      <c r="I1749" s="177"/>
      <c r="J1749" s="300"/>
      <c r="K1749" s="196">
        <f>SUM(K1743:K1748)</f>
        <v>322245</v>
      </c>
      <c r="L1749" s="205"/>
      <c r="M1749" s="193"/>
    </row>
    <row r="1750" spans="1:13" x14ac:dyDescent="0.2">
      <c r="A1750" s="163">
        <v>418</v>
      </c>
      <c r="B1750" s="164" t="s">
        <v>2276</v>
      </c>
      <c r="C1750" s="165"/>
      <c r="D1750" s="166" t="s">
        <v>163</v>
      </c>
      <c r="E1750" s="166"/>
      <c r="F1750" s="166"/>
      <c r="G1750" s="166"/>
      <c r="H1750" s="248"/>
      <c r="I1750" s="217" t="s">
        <v>2277</v>
      </c>
      <c r="J1750" s="267" t="s">
        <v>1434</v>
      </c>
      <c r="K1750" s="268">
        <f>209550*50%</f>
        <v>104775</v>
      </c>
      <c r="L1750" s="195" t="s">
        <v>166</v>
      </c>
      <c r="M1750" s="171" t="s">
        <v>2278</v>
      </c>
    </row>
    <row r="1751" spans="1:13" x14ac:dyDescent="0.2">
      <c r="A1751" s="173"/>
      <c r="B1751" s="174"/>
      <c r="C1751" s="175"/>
      <c r="D1751" s="176"/>
      <c r="E1751" s="176"/>
      <c r="F1751" s="176"/>
      <c r="G1751" s="176"/>
      <c r="H1751" s="250"/>
      <c r="I1751" s="184" t="s">
        <v>2279</v>
      </c>
      <c r="J1751" s="272" t="s">
        <v>1434</v>
      </c>
      <c r="K1751" s="214">
        <f>209550*20%</f>
        <v>41910</v>
      </c>
      <c r="L1751" s="197"/>
      <c r="M1751" s="181"/>
    </row>
    <row r="1752" spans="1:13" x14ac:dyDescent="0.2">
      <c r="A1752" s="173"/>
      <c r="B1752" s="174"/>
      <c r="C1752" s="175"/>
      <c r="D1752" s="176"/>
      <c r="E1752" s="176"/>
      <c r="F1752" s="176"/>
      <c r="G1752" s="176"/>
      <c r="H1752" s="250"/>
      <c r="I1752" s="184" t="s">
        <v>2280</v>
      </c>
      <c r="J1752" s="272" t="s">
        <v>1434</v>
      </c>
      <c r="K1752" s="214">
        <f>209550*5%</f>
        <v>10477.5</v>
      </c>
      <c r="L1752" s="197"/>
      <c r="M1752" s="181"/>
    </row>
    <row r="1753" spans="1:13" x14ac:dyDescent="0.2">
      <c r="A1753" s="173"/>
      <c r="B1753" s="174"/>
      <c r="C1753" s="175"/>
      <c r="D1753" s="176"/>
      <c r="E1753" s="176"/>
      <c r="F1753" s="176"/>
      <c r="G1753" s="176"/>
      <c r="H1753" s="250"/>
      <c r="I1753" s="184" t="s">
        <v>2281</v>
      </c>
      <c r="J1753" s="272" t="s">
        <v>1434</v>
      </c>
      <c r="K1753" s="214">
        <f>209550*10%</f>
        <v>20955</v>
      </c>
      <c r="L1753" s="197"/>
      <c r="M1753" s="181"/>
    </row>
    <row r="1754" spans="1:13" x14ac:dyDescent="0.2">
      <c r="A1754" s="173"/>
      <c r="B1754" s="174"/>
      <c r="C1754" s="175"/>
      <c r="D1754" s="176"/>
      <c r="E1754" s="176"/>
      <c r="F1754" s="176"/>
      <c r="G1754" s="176"/>
      <c r="H1754" s="250"/>
      <c r="I1754" s="184" t="s">
        <v>2282</v>
      </c>
      <c r="J1754" s="272" t="s">
        <v>1434</v>
      </c>
      <c r="K1754" s="214">
        <f>209550*10%</f>
        <v>20955</v>
      </c>
      <c r="L1754" s="197"/>
      <c r="M1754" s="181"/>
    </row>
    <row r="1755" spans="1:13" x14ac:dyDescent="0.2">
      <c r="A1755" s="173"/>
      <c r="B1755" s="174"/>
      <c r="C1755" s="175"/>
      <c r="D1755" s="176"/>
      <c r="E1755" s="176"/>
      <c r="F1755" s="176"/>
      <c r="G1755" s="176"/>
      <c r="H1755" s="250"/>
      <c r="I1755" s="184" t="s">
        <v>2271</v>
      </c>
      <c r="J1755" s="272" t="s">
        <v>1434</v>
      </c>
      <c r="K1755" s="214">
        <f>209550*5%</f>
        <v>10477.5</v>
      </c>
      <c r="L1755" s="197"/>
      <c r="M1755" s="181"/>
    </row>
    <row r="1756" spans="1:13" x14ac:dyDescent="0.2">
      <c r="A1756" s="185"/>
      <c r="B1756" s="186"/>
      <c r="C1756" s="187"/>
      <c r="D1756" s="188"/>
      <c r="E1756" s="188"/>
      <c r="F1756" s="188"/>
      <c r="G1756" s="188"/>
      <c r="H1756" s="251"/>
      <c r="I1756" s="202"/>
      <c r="J1756" s="275"/>
      <c r="K1756" s="247">
        <f>SUM(K1750:K1755)</f>
        <v>209550</v>
      </c>
      <c r="L1756" s="205"/>
      <c r="M1756" s="193"/>
    </row>
    <row r="1757" spans="1:13" ht="21.75" customHeight="1" x14ac:dyDescent="0.2">
      <c r="A1757" s="163">
        <v>419</v>
      </c>
      <c r="B1757" s="164" t="s">
        <v>2283</v>
      </c>
      <c r="C1757" s="165"/>
      <c r="D1757" s="252" t="s">
        <v>107</v>
      </c>
      <c r="E1757" s="166"/>
      <c r="F1757" s="166"/>
      <c r="G1757" s="166"/>
      <c r="H1757" s="166" t="s">
        <v>137</v>
      </c>
      <c r="I1757" s="167" t="s">
        <v>2284</v>
      </c>
      <c r="J1757" s="168" t="s">
        <v>1018</v>
      </c>
      <c r="K1757" s="169">
        <f>K1760*85%</f>
        <v>7650</v>
      </c>
      <c r="L1757" s="170" t="s">
        <v>111</v>
      </c>
      <c r="M1757" s="171" t="s">
        <v>2285</v>
      </c>
    </row>
    <row r="1758" spans="1:13" x14ac:dyDescent="0.2">
      <c r="A1758" s="173"/>
      <c r="B1758" s="174"/>
      <c r="C1758" s="175"/>
      <c r="D1758" s="245"/>
      <c r="E1758" s="176"/>
      <c r="F1758" s="176"/>
      <c r="G1758" s="176"/>
      <c r="H1758" s="176"/>
      <c r="I1758" s="177" t="s">
        <v>2286</v>
      </c>
      <c r="J1758" s="183" t="s">
        <v>1434</v>
      </c>
      <c r="K1758" s="208">
        <f>K1760*10%</f>
        <v>900</v>
      </c>
      <c r="L1758" s="180"/>
      <c r="M1758" s="181"/>
    </row>
    <row r="1759" spans="1:13" x14ac:dyDescent="0.2">
      <c r="A1759" s="173"/>
      <c r="B1759" s="174"/>
      <c r="C1759" s="175"/>
      <c r="D1759" s="245"/>
      <c r="E1759" s="176"/>
      <c r="F1759" s="176"/>
      <c r="G1759" s="176"/>
      <c r="H1759" s="176"/>
      <c r="I1759" s="177" t="s">
        <v>763</v>
      </c>
      <c r="J1759" s="178" t="s">
        <v>683</v>
      </c>
      <c r="K1759" s="201">
        <f>K1760*5%</f>
        <v>450</v>
      </c>
      <c r="L1759" s="180"/>
      <c r="M1759" s="181"/>
    </row>
    <row r="1760" spans="1:13" x14ac:dyDescent="0.2">
      <c r="A1760" s="185"/>
      <c r="B1760" s="186"/>
      <c r="C1760" s="187"/>
      <c r="D1760" s="246"/>
      <c r="E1760" s="188"/>
      <c r="F1760" s="188"/>
      <c r="G1760" s="188"/>
      <c r="H1760" s="188"/>
      <c r="I1760" s="202"/>
      <c r="J1760" s="215"/>
      <c r="K1760" s="216">
        <v>9000</v>
      </c>
      <c r="L1760" s="192"/>
      <c r="M1760" s="193"/>
    </row>
    <row r="1761" spans="1:14" ht="21" customHeight="1" x14ac:dyDescent="0.2">
      <c r="A1761" s="343">
        <v>420</v>
      </c>
      <c r="B1761" s="164" t="s">
        <v>2287</v>
      </c>
      <c r="C1761" s="165"/>
      <c r="D1761" s="252" t="s">
        <v>107</v>
      </c>
      <c r="E1761" s="166"/>
      <c r="F1761" s="166"/>
      <c r="G1761" s="166"/>
      <c r="H1761" s="166" t="s">
        <v>164</v>
      </c>
      <c r="I1761" s="167" t="s">
        <v>2288</v>
      </c>
      <c r="J1761" s="168" t="s">
        <v>1018</v>
      </c>
      <c r="K1761" s="212">
        <f>K1763*75%</f>
        <v>3750</v>
      </c>
      <c r="L1761" s="170" t="s">
        <v>111</v>
      </c>
      <c r="M1761" s="171" t="s">
        <v>2289</v>
      </c>
    </row>
    <row r="1762" spans="1:14" ht="21" customHeight="1" x14ac:dyDescent="0.2">
      <c r="A1762" s="343"/>
      <c r="B1762" s="174"/>
      <c r="C1762" s="175"/>
      <c r="D1762" s="245"/>
      <c r="E1762" s="176"/>
      <c r="F1762" s="176"/>
      <c r="G1762" s="176"/>
      <c r="H1762" s="176"/>
      <c r="I1762" s="177" t="s">
        <v>2290</v>
      </c>
      <c r="J1762" s="178" t="s">
        <v>1607</v>
      </c>
      <c r="K1762" s="201">
        <f>K1763*25%</f>
        <v>1250</v>
      </c>
      <c r="L1762" s="180"/>
      <c r="M1762" s="181"/>
    </row>
    <row r="1763" spans="1:14" x14ac:dyDescent="0.2">
      <c r="A1763" s="343"/>
      <c r="B1763" s="186"/>
      <c r="C1763" s="187"/>
      <c r="D1763" s="246"/>
      <c r="E1763" s="188"/>
      <c r="F1763" s="188"/>
      <c r="G1763" s="188"/>
      <c r="H1763" s="188"/>
      <c r="I1763" s="202"/>
      <c r="J1763" s="215"/>
      <c r="K1763" s="216">
        <v>5000</v>
      </c>
      <c r="L1763" s="192"/>
      <c r="M1763" s="193"/>
    </row>
    <row r="1764" spans="1:14" ht="63" customHeight="1" x14ac:dyDescent="0.2">
      <c r="A1764" s="305">
        <v>421</v>
      </c>
      <c r="B1764" s="164" t="s">
        <v>2291</v>
      </c>
      <c r="C1764" s="165"/>
      <c r="D1764" s="307" t="s">
        <v>107</v>
      </c>
      <c r="E1764" s="308"/>
      <c r="F1764" s="308"/>
      <c r="G1764" s="308"/>
      <c r="H1764" s="308"/>
      <c r="I1764" s="189" t="s">
        <v>2292</v>
      </c>
      <c r="J1764" s="215" t="s">
        <v>1434</v>
      </c>
      <c r="K1764" s="260">
        <v>18000</v>
      </c>
      <c r="L1764" s="309" t="s">
        <v>111</v>
      </c>
      <c r="M1764" s="261" t="s">
        <v>2293</v>
      </c>
    </row>
    <row r="1765" spans="1:14" ht="42" customHeight="1" x14ac:dyDescent="0.2">
      <c r="A1765" s="232">
        <v>422</v>
      </c>
      <c r="B1765" s="164" t="s">
        <v>2294</v>
      </c>
      <c r="C1765" s="165"/>
      <c r="D1765" s="307" t="s">
        <v>107</v>
      </c>
      <c r="E1765" s="308"/>
      <c r="F1765" s="308"/>
      <c r="G1765" s="308"/>
      <c r="H1765" s="308"/>
      <c r="I1765" s="167" t="s">
        <v>2295</v>
      </c>
      <c r="J1765" s="168" t="s">
        <v>1434</v>
      </c>
      <c r="K1765" s="462">
        <v>18000</v>
      </c>
      <c r="L1765" s="309" t="s">
        <v>111</v>
      </c>
      <c r="M1765" s="261" t="s">
        <v>2296</v>
      </c>
    </row>
    <row r="1766" spans="1:14" ht="21.75" customHeight="1" x14ac:dyDescent="0.2">
      <c r="A1766" s="163">
        <v>423</v>
      </c>
      <c r="B1766" s="164" t="s">
        <v>2297</v>
      </c>
      <c r="C1766" s="165"/>
      <c r="D1766" s="252" t="s">
        <v>25</v>
      </c>
      <c r="E1766" s="166"/>
      <c r="F1766" s="166" t="s">
        <v>1265</v>
      </c>
      <c r="G1766" s="166" t="s">
        <v>1153</v>
      </c>
      <c r="H1766" s="166" t="s">
        <v>769</v>
      </c>
      <c r="I1766" s="261" t="s">
        <v>2298</v>
      </c>
      <c r="J1766" s="223" t="s">
        <v>1434</v>
      </c>
      <c r="K1766" s="375">
        <f>450000*65%</f>
        <v>292500</v>
      </c>
      <c r="L1766" s="171" t="s">
        <v>1153</v>
      </c>
      <c r="M1766" s="171" t="s">
        <v>2299</v>
      </c>
    </row>
    <row r="1767" spans="1:14" ht="21.75" customHeight="1" x14ac:dyDescent="0.2">
      <c r="A1767" s="173"/>
      <c r="B1767" s="174"/>
      <c r="C1767" s="175"/>
      <c r="D1767" s="245"/>
      <c r="E1767" s="176"/>
      <c r="F1767" s="176"/>
      <c r="G1767" s="176"/>
      <c r="H1767" s="176"/>
      <c r="I1767" s="184" t="s">
        <v>2300</v>
      </c>
      <c r="J1767" s="168" t="s">
        <v>1434</v>
      </c>
      <c r="K1767" s="196">
        <f>450000*20%</f>
        <v>90000</v>
      </c>
      <c r="L1767" s="181"/>
      <c r="M1767" s="181"/>
    </row>
    <row r="1768" spans="1:14" ht="21.75" customHeight="1" x14ac:dyDescent="0.2">
      <c r="A1768" s="173"/>
      <c r="B1768" s="174"/>
      <c r="C1768" s="175"/>
      <c r="D1768" s="245"/>
      <c r="E1768" s="176"/>
      <c r="F1768" s="176"/>
      <c r="G1768" s="176"/>
      <c r="H1768" s="176"/>
      <c r="I1768" s="184" t="s">
        <v>2301</v>
      </c>
      <c r="J1768" s="226" t="s">
        <v>1434</v>
      </c>
      <c r="K1768" s="196">
        <f>450000*10%</f>
        <v>45000</v>
      </c>
      <c r="L1768" s="181"/>
      <c r="M1768" s="181"/>
    </row>
    <row r="1769" spans="1:14" ht="21.75" customHeight="1" x14ac:dyDescent="0.2">
      <c r="A1769" s="173"/>
      <c r="B1769" s="174"/>
      <c r="C1769" s="175"/>
      <c r="D1769" s="245"/>
      <c r="E1769" s="176"/>
      <c r="F1769" s="176"/>
      <c r="G1769" s="176"/>
      <c r="H1769" s="176"/>
      <c r="I1769" s="184" t="s">
        <v>2302</v>
      </c>
      <c r="J1769" s="207" t="s">
        <v>1434</v>
      </c>
      <c r="K1769" s="214">
        <f>450000*5%</f>
        <v>22500</v>
      </c>
      <c r="L1769" s="181"/>
      <c r="M1769" s="181"/>
    </row>
    <row r="1770" spans="1:14" ht="21.75" customHeight="1" x14ac:dyDescent="0.2">
      <c r="A1770" s="185"/>
      <c r="B1770" s="186"/>
      <c r="C1770" s="187"/>
      <c r="D1770" s="246"/>
      <c r="E1770" s="188"/>
      <c r="F1770" s="188"/>
      <c r="G1770" s="188"/>
      <c r="H1770" s="188"/>
      <c r="I1770" s="189"/>
      <c r="J1770" s="215"/>
      <c r="K1770" s="382">
        <f>SUM(K1766:K1769)</f>
        <v>450000</v>
      </c>
      <c r="L1770" s="193"/>
      <c r="M1770" s="193"/>
    </row>
    <row r="1771" spans="1:14" x14ac:dyDescent="0.2">
      <c r="A1771" s="163">
        <v>424</v>
      </c>
      <c r="B1771" s="164" t="s">
        <v>2303</v>
      </c>
      <c r="C1771" s="165"/>
      <c r="D1771" s="166" t="s">
        <v>107</v>
      </c>
      <c r="E1771" s="166"/>
      <c r="F1771" s="166"/>
      <c r="G1771" s="166"/>
      <c r="H1771" s="248" t="s">
        <v>164</v>
      </c>
      <c r="I1771" s="276" t="s">
        <v>2304</v>
      </c>
      <c r="J1771" s="277" t="s">
        <v>1607</v>
      </c>
      <c r="K1771" s="268">
        <f>5000*90%</f>
        <v>4500</v>
      </c>
      <c r="L1771" s="195" t="s">
        <v>111</v>
      </c>
      <c r="M1771" s="171" t="s">
        <v>2305</v>
      </c>
    </row>
    <row r="1772" spans="1:14" x14ac:dyDescent="0.2">
      <c r="A1772" s="173"/>
      <c r="B1772" s="174"/>
      <c r="C1772" s="175"/>
      <c r="D1772" s="176"/>
      <c r="E1772" s="176"/>
      <c r="F1772" s="176"/>
      <c r="G1772" s="176"/>
      <c r="H1772" s="250"/>
      <c r="I1772" s="184" t="s">
        <v>2306</v>
      </c>
      <c r="J1772" s="272" t="s">
        <v>1607</v>
      </c>
      <c r="K1772" s="214">
        <f>5000*10%</f>
        <v>500</v>
      </c>
      <c r="L1772" s="197"/>
      <c r="M1772" s="181"/>
    </row>
    <row r="1773" spans="1:14" x14ac:dyDescent="0.2">
      <c r="A1773" s="185"/>
      <c r="B1773" s="186"/>
      <c r="C1773" s="187"/>
      <c r="D1773" s="188"/>
      <c r="E1773" s="188"/>
      <c r="F1773" s="188"/>
      <c r="G1773" s="188"/>
      <c r="H1773" s="251"/>
      <c r="I1773" s="177"/>
      <c r="J1773" s="300"/>
      <c r="K1773" s="196">
        <f>SUM(K1771:K1772)</f>
        <v>5000</v>
      </c>
      <c r="L1773" s="205"/>
      <c r="M1773" s="193"/>
    </row>
    <row r="1774" spans="1:14" x14ac:dyDescent="0.2">
      <c r="A1774" s="163">
        <v>425</v>
      </c>
      <c r="B1774" s="164" t="s">
        <v>2307</v>
      </c>
      <c r="C1774" s="165"/>
      <c r="D1774" s="166" t="s">
        <v>107</v>
      </c>
      <c r="E1774" s="166"/>
      <c r="F1774" s="166"/>
      <c r="G1774" s="166"/>
      <c r="H1774" s="248"/>
      <c r="I1774" s="217" t="s">
        <v>2308</v>
      </c>
      <c r="J1774" s="267" t="s">
        <v>1607</v>
      </c>
      <c r="K1774" s="268">
        <f>4800*75%</f>
        <v>3600</v>
      </c>
      <c r="L1774" s="195" t="s">
        <v>111</v>
      </c>
      <c r="M1774" s="171" t="s">
        <v>2309</v>
      </c>
      <c r="N1774" s="172"/>
    </row>
    <row r="1775" spans="1:14" x14ac:dyDescent="0.2">
      <c r="A1775" s="173"/>
      <c r="B1775" s="174"/>
      <c r="C1775" s="175"/>
      <c r="D1775" s="176"/>
      <c r="E1775" s="176"/>
      <c r="F1775" s="176"/>
      <c r="G1775" s="176"/>
      <c r="H1775" s="250"/>
      <c r="I1775" s="184" t="s">
        <v>2310</v>
      </c>
      <c r="J1775" s="272" t="s">
        <v>662</v>
      </c>
      <c r="K1775" s="214">
        <f>4800*25%</f>
        <v>1200</v>
      </c>
      <c r="L1775" s="197"/>
      <c r="M1775" s="181"/>
    </row>
    <row r="1776" spans="1:14" x14ac:dyDescent="0.2">
      <c r="A1776" s="185"/>
      <c r="B1776" s="186"/>
      <c r="C1776" s="187"/>
      <c r="D1776" s="188"/>
      <c r="E1776" s="188"/>
      <c r="F1776" s="188"/>
      <c r="G1776" s="188"/>
      <c r="H1776" s="251"/>
      <c r="I1776" s="202"/>
      <c r="J1776" s="275"/>
      <c r="K1776" s="247">
        <f>SUM(K1774:K1775)</f>
        <v>4800</v>
      </c>
      <c r="L1776" s="205"/>
      <c r="M1776" s="193"/>
    </row>
    <row r="1777" spans="1:14" x14ac:dyDescent="0.2">
      <c r="A1777" s="163">
        <v>426</v>
      </c>
      <c r="B1777" s="164" t="s">
        <v>2311</v>
      </c>
      <c r="C1777" s="165"/>
      <c r="D1777" s="166" t="s">
        <v>163</v>
      </c>
      <c r="E1777" s="166"/>
      <c r="F1777" s="166"/>
      <c r="G1777" s="166"/>
      <c r="H1777" s="248"/>
      <c r="I1777" s="276" t="s">
        <v>2312</v>
      </c>
      <c r="J1777" s="277" t="s">
        <v>1607</v>
      </c>
      <c r="K1777" s="278">
        <f>530000*30%</f>
        <v>159000</v>
      </c>
      <c r="L1777" s="195" t="s">
        <v>166</v>
      </c>
      <c r="M1777" s="171" t="s">
        <v>2313</v>
      </c>
    </row>
    <row r="1778" spans="1:14" x14ac:dyDescent="0.2">
      <c r="A1778" s="173"/>
      <c r="B1778" s="174"/>
      <c r="C1778" s="175"/>
      <c r="D1778" s="176"/>
      <c r="E1778" s="176"/>
      <c r="F1778" s="176"/>
      <c r="G1778" s="176"/>
      <c r="H1778" s="250"/>
      <c r="I1778" s="184" t="s">
        <v>2314</v>
      </c>
      <c r="J1778" s="272" t="s">
        <v>1607</v>
      </c>
      <c r="K1778" s="214">
        <f>530000*25%</f>
        <v>132500</v>
      </c>
      <c r="L1778" s="197"/>
      <c r="M1778" s="181"/>
    </row>
    <row r="1779" spans="1:14" x14ac:dyDescent="0.2">
      <c r="A1779" s="173"/>
      <c r="B1779" s="174"/>
      <c r="C1779" s="175"/>
      <c r="D1779" s="176"/>
      <c r="E1779" s="176"/>
      <c r="F1779" s="176"/>
      <c r="G1779" s="176"/>
      <c r="H1779" s="250"/>
      <c r="I1779" s="184" t="s">
        <v>2315</v>
      </c>
      <c r="J1779" s="272" t="s">
        <v>1607</v>
      </c>
      <c r="K1779" s="214">
        <f>530000*25%</f>
        <v>132500</v>
      </c>
      <c r="L1779" s="197"/>
      <c r="M1779" s="181"/>
    </row>
    <row r="1780" spans="1:14" x14ac:dyDescent="0.2">
      <c r="A1780" s="173"/>
      <c r="B1780" s="174"/>
      <c r="C1780" s="175"/>
      <c r="D1780" s="176"/>
      <c r="E1780" s="176"/>
      <c r="F1780" s="176"/>
      <c r="G1780" s="176"/>
      <c r="H1780" s="250"/>
      <c r="I1780" s="184" t="s">
        <v>2316</v>
      </c>
      <c r="J1780" s="272" t="s">
        <v>1607</v>
      </c>
      <c r="K1780" s="214">
        <f>530000*20%</f>
        <v>106000</v>
      </c>
      <c r="L1780" s="197"/>
      <c r="M1780" s="181"/>
    </row>
    <row r="1781" spans="1:14" x14ac:dyDescent="0.2">
      <c r="A1781" s="185"/>
      <c r="B1781" s="186"/>
      <c r="C1781" s="187"/>
      <c r="D1781" s="188"/>
      <c r="E1781" s="188"/>
      <c r="F1781" s="188"/>
      <c r="G1781" s="188"/>
      <c r="H1781" s="251"/>
      <c r="I1781" s="177"/>
      <c r="J1781" s="300"/>
      <c r="K1781" s="196">
        <f>SUM(K1777:K1780)</f>
        <v>530000</v>
      </c>
      <c r="L1781" s="205"/>
      <c r="M1781" s="193"/>
    </row>
    <row r="1782" spans="1:14" ht="21" customHeight="1" x14ac:dyDescent="0.2">
      <c r="A1782" s="163">
        <v>427</v>
      </c>
      <c r="B1782" s="164" t="s">
        <v>2317</v>
      </c>
      <c r="C1782" s="165"/>
      <c r="D1782" s="166" t="s">
        <v>163</v>
      </c>
      <c r="E1782" s="166"/>
      <c r="F1782" s="166"/>
      <c r="G1782" s="166"/>
      <c r="H1782" s="248"/>
      <c r="I1782" s="217" t="s">
        <v>2318</v>
      </c>
      <c r="J1782" s="267" t="s">
        <v>186</v>
      </c>
      <c r="K1782" s="268">
        <f>530000*60%</f>
        <v>318000</v>
      </c>
      <c r="L1782" s="195" t="s">
        <v>166</v>
      </c>
      <c r="M1782" s="171" t="s">
        <v>2319</v>
      </c>
    </row>
    <row r="1783" spans="1:14" x14ac:dyDescent="0.2">
      <c r="A1783" s="173"/>
      <c r="B1783" s="174"/>
      <c r="C1783" s="175"/>
      <c r="D1783" s="176"/>
      <c r="E1783" s="176"/>
      <c r="F1783" s="176"/>
      <c r="G1783" s="176"/>
      <c r="H1783" s="250"/>
      <c r="I1783" s="184" t="s">
        <v>601</v>
      </c>
      <c r="J1783" s="272" t="s">
        <v>1607</v>
      </c>
      <c r="K1783" s="214">
        <f>530000*10%</f>
        <v>53000</v>
      </c>
      <c r="L1783" s="197"/>
      <c r="M1783" s="181"/>
    </row>
    <row r="1784" spans="1:14" x14ac:dyDescent="0.2">
      <c r="A1784" s="173"/>
      <c r="B1784" s="174"/>
      <c r="C1784" s="175"/>
      <c r="D1784" s="176"/>
      <c r="E1784" s="176"/>
      <c r="F1784" s="176"/>
      <c r="G1784" s="176"/>
      <c r="H1784" s="250"/>
      <c r="I1784" s="184" t="s">
        <v>2320</v>
      </c>
      <c r="J1784" s="272" t="s">
        <v>1607</v>
      </c>
      <c r="K1784" s="214">
        <f>530000*10%</f>
        <v>53000</v>
      </c>
      <c r="L1784" s="197"/>
      <c r="M1784" s="181"/>
    </row>
    <row r="1785" spans="1:14" x14ac:dyDescent="0.2">
      <c r="A1785" s="173"/>
      <c r="B1785" s="174"/>
      <c r="C1785" s="175"/>
      <c r="D1785" s="176"/>
      <c r="E1785" s="176"/>
      <c r="F1785" s="176"/>
      <c r="G1785" s="176"/>
      <c r="H1785" s="250"/>
      <c r="I1785" s="184" t="s">
        <v>2321</v>
      </c>
      <c r="J1785" s="272" t="s">
        <v>1607</v>
      </c>
      <c r="K1785" s="214">
        <f>530000*10%</f>
        <v>53000</v>
      </c>
      <c r="L1785" s="197"/>
      <c r="M1785" s="181"/>
    </row>
    <row r="1786" spans="1:14" x14ac:dyDescent="0.2">
      <c r="A1786" s="173"/>
      <c r="B1786" s="174"/>
      <c r="C1786" s="175"/>
      <c r="D1786" s="176"/>
      <c r="E1786" s="176"/>
      <c r="F1786" s="176"/>
      <c r="G1786" s="176"/>
      <c r="H1786" s="250"/>
      <c r="I1786" s="184" t="s">
        <v>2322</v>
      </c>
      <c r="J1786" s="272" t="s">
        <v>1607</v>
      </c>
      <c r="K1786" s="214">
        <f>530000*10%</f>
        <v>53000</v>
      </c>
      <c r="L1786" s="197"/>
      <c r="M1786" s="181"/>
    </row>
    <row r="1787" spans="1:14" x14ac:dyDescent="0.2">
      <c r="A1787" s="185"/>
      <c r="B1787" s="186"/>
      <c r="C1787" s="187"/>
      <c r="D1787" s="188"/>
      <c r="E1787" s="188"/>
      <c r="F1787" s="188"/>
      <c r="G1787" s="188"/>
      <c r="H1787" s="251"/>
      <c r="I1787" s="202"/>
      <c r="J1787" s="275"/>
      <c r="K1787" s="247">
        <f>SUM(K1782:K1786)</f>
        <v>530000</v>
      </c>
      <c r="L1787" s="205"/>
      <c r="M1787" s="193"/>
    </row>
    <row r="1788" spans="1:14" x14ac:dyDescent="0.2">
      <c r="A1788" s="163">
        <v>428</v>
      </c>
      <c r="B1788" s="164" t="s">
        <v>2323</v>
      </c>
      <c r="C1788" s="165"/>
      <c r="D1788" s="166" t="s">
        <v>25</v>
      </c>
      <c r="E1788" s="166"/>
      <c r="F1788" s="166" t="s">
        <v>1265</v>
      </c>
      <c r="G1788" s="166" t="s">
        <v>2324</v>
      </c>
      <c r="H1788" s="463" t="s">
        <v>1146</v>
      </c>
      <c r="I1788" s="464" t="s">
        <v>2325</v>
      </c>
      <c r="J1788" s="353" t="s">
        <v>1607</v>
      </c>
      <c r="K1788" s="375">
        <v>1110444</v>
      </c>
      <c r="L1788" s="195" t="s">
        <v>2324</v>
      </c>
      <c r="M1788" s="171" t="s">
        <v>2326</v>
      </c>
      <c r="N1788" s="172"/>
    </row>
    <row r="1789" spans="1:14" x14ac:dyDescent="0.2">
      <c r="A1789" s="173"/>
      <c r="B1789" s="174"/>
      <c r="C1789" s="175"/>
      <c r="D1789" s="176"/>
      <c r="E1789" s="176"/>
      <c r="F1789" s="176"/>
      <c r="G1789" s="176"/>
      <c r="H1789" s="465"/>
      <c r="I1789" s="466" t="s">
        <v>2327</v>
      </c>
      <c r="J1789" s="207" t="s">
        <v>1607</v>
      </c>
      <c r="K1789" s="214">
        <v>1110444</v>
      </c>
      <c r="L1789" s="197"/>
      <c r="M1789" s="181"/>
    </row>
    <row r="1790" spans="1:14" x14ac:dyDescent="0.2">
      <c r="A1790" s="173"/>
      <c r="B1790" s="174"/>
      <c r="C1790" s="175"/>
      <c r="D1790" s="176"/>
      <c r="E1790" s="176"/>
      <c r="F1790" s="176"/>
      <c r="G1790" s="176"/>
      <c r="H1790" s="465"/>
      <c r="I1790" s="253" t="s">
        <v>2328</v>
      </c>
      <c r="J1790" s="467" t="s">
        <v>1607</v>
      </c>
      <c r="K1790" s="382">
        <v>1110444</v>
      </c>
      <c r="L1790" s="197"/>
      <c r="M1790" s="181"/>
    </row>
    <row r="1791" spans="1:14" x14ac:dyDescent="0.2">
      <c r="A1791" s="173"/>
      <c r="B1791" s="174"/>
      <c r="C1791" s="175"/>
      <c r="D1791" s="176"/>
      <c r="E1791" s="176"/>
      <c r="F1791" s="176"/>
      <c r="G1791" s="176"/>
      <c r="H1791" s="465"/>
      <c r="I1791" s="468" t="s">
        <v>2329</v>
      </c>
      <c r="J1791" s="207" t="s">
        <v>1607</v>
      </c>
      <c r="K1791" s="214">
        <v>1110444</v>
      </c>
      <c r="L1791" s="197"/>
      <c r="M1791" s="181"/>
    </row>
    <row r="1792" spans="1:14" x14ac:dyDescent="0.2">
      <c r="A1792" s="173"/>
      <c r="B1792" s="174"/>
      <c r="C1792" s="175"/>
      <c r="D1792" s="176"/>
      <c r="E1792" s="176"/>
      <c r="F1792" s="176"/>
      <c r="G1792" s="176"/>
      <c r="H1792" s="465"/>
      <c r="I1792" s="469" t="s">
        <v>2330</v>
      </c>
      <c r="J1792" s="467" t="s">
        <v>1607</v>
      </c>
      <c r="K1792" s="196">
        <v>1110444</v>
      </c>
      <c r="L1792" s="197"/>
      <c r="M1792" s="181"/>
    </row>
    <row r="1793" spans="1:13" x14ac:dyDescent="0.2">
      <c r="A1793" s="173"/>
      <c r="B1793" s="174"/>
      <c r="C1793" s="175"/>
      <c r="D1793" s="176"/>
      <c r="E1793" s="176"/>
      <c r="F1793" s="176"/>
      <c r="G1793" s="176"/>
      <c r="H1793" s="465"/>
      <c r="I1793" s="466" t="s">
        <v>2331</v>
      </c>
      <c r="J1793" s="207" t="s">
        <v>1607</v>
      </c>
      <c r="K1793" s="214">
        <v>1110444</v>
      </c>
      <c r="L1793" s="197"/>
      <c r="M1793" s="181"/>
    </row>
    <row r="1794" spans="1:13" x14ac:dyDescent="0.2">
      <c r="A1794" s="185"/>
      <c r="B1794" s="186"/>
      <c r="C1794" s="187"/>
      <c r="D1794" s="188"/>
      <c r="E1794" s="188"/>
      <c r="F1794" s="188"/>
      <c r="G1794" s="188"/>
      <c r="H1794" s="470"/>
      <c r="I1794" s="471"/>
      <c r="J1794" s="215"/>
      <c r="K1794" s="247">
        <f>SUM(K1788:K1793)</f>
        <v>6662664</v>
      </c>
      <c r="L1794" s="205"/>
      <c r="M1794" s="193"/>
    </row>
    <row r="1795" spans="1:13" x14ac:dyDescent="0.2">
      <c r="A1795" s="173">
        <v>429</v>
      </c>
      <c r="B1795" s="164" t="s">
        <v>2332</v>
      </c>
      <c r="C1795" s="165"/>
      <c r="D1795" s="166" t="s">
        <v>25</v>
      </c>
      <c r="E1795" s="166"/>
      <c r="F1795" s="166" t="s">
        <v>1265</v>
      </c>
      <c r="G1795" s="166" t="s">
        <v>2333</v>
      </c>
      <c r="H1795" s="248" t="s">
        <v>769</v>
      </c>
      <c r="I1795" s="217" t="s">
        <v>2334</v>
      </c>
      <c r="J1795" s="223" t="s">
        <v>1607</v>
      </c>
      <c r="K1795" s="268">
        <v>43750</v>
      </c>
      <c r="L1795" s="195" t="s">
        <v>2333</v>
      </c>
      <c r="M1795" s="167" t="s">
        <v>2335</v>
      </c>
    </row>
    <row r="1796" spans="1:13" x14ac:dyDescent="0.2">
      <c r="A1796" s="173"/>
      <c r="B1796" s="174"/>
      <c r="C1796" s="175"/>
      <c r="D1796" s="176"/>
      <c r="E1796" s="176"/>
      <c r="F1796" s="176"/>
      <c r="G1796" s="176"/>
      <c r="H1796" s="250"/>
      <c r="I1796" s="167" t="s">
        <v>2336</v>
      </c>
      <c r="J1796" s="168" t="s">
        <v>1607</v>
      </c>
      <c r="K1796" s="214">
        <v>43750</v>
      </c>
      <c r="L1796" s="197"/>
      <c r="M1796" s="167"/>
    </row>
    <row r="1797" spans="1:13" x14ac:dyDescent="0.2">
      <c r="A1797" s="173"/>
      <c r="B1797" s="174"/>
      <c r="C1797" s="175"/>
      <c r="D1797" s="176"/>
      <c r="E1797" s="176"/>
      <c r="F1797" s="176"/>
      <c r="G1797" s="176"/>
      <c r="H1797" s="250"/>
      <c r="I1797" s="177" t="s">
        <v>2337</v>
      </c>
      <c r="J1797" s="226" t="s">
        <v>1607</v>
      </c>
      <c r="K1797" s="382">
        <v>43750</v>
      </c>
      <c r="L1797" s="197"/>
      <c r="M1797" s="167"/>
    </row>
    <row r="1798" spans="1:13" x14ac:dyDescent="0.2">
      <c r="A1798" s="173"/>
      <c r="B1798" s="174"/>
      <c r="C1798" s="175"/>
      <c r="D1798" s="176"/>
      <c r="E1798" s="176"/>
      <c r="F1798" s="176"/>
      <c r="G1798" s="176"/>
      <c r="H1798" s="250"/>
      <c r="I1798" s="177" t="s">
        <v>2338</v>
      </c>
      <c r="J1798" s="226" t="s">
        <v>1607</v>
      </c>
      <c r="K1798" s="214">
        <v>43750</v>
      </c>
      <c r="L1798" s="197"/>
      <c r="M1798" s="167"/>
    </row>
    <row r="1799" spans="1:13" x14ac:dyDescent="0.2">
      <c r="A1799" s="173"/>
      <c r="B1799" s="174"/>
      <c r="C1799" s="175"/>
      <c r="D1799" s="176"/>
      <c r="E1799" s="176"/>
      <c r="F1799" s="176"/>
      <c r="G1799" s="176"/>
      <c r="H1799" s="250"/>
      <c r="I1799" s="184" t="s">
        <v>2339</v>
      </c>
      <c r="J1799" s="207" t="s">
        <v>1607</v>
      </c>
      <c r="K1799" s="214">
        <v>43750</v>
      </c>
      <c r="L1799" s="197"/>
      <c r="M1799" s="167"/>
    </row>
    <row r="1800" spans="1:13" x14ac:dyDescent="0.2">
      <c r="A1800" s="173"/>
      <c r="B1800" s="174"/>
      <c r="C1800" s="175"/>
      <c r="D1800" s="176"/>
      <c r="E1800" s="176"/>
      <c r="F1800" s="176"/>
      <c r="G1800" s="176"/>
      <c r="H1800" s="250"/>
      <c r="I1800" s="184" t="s">
        <v>2340</v>
      </c>
      <c r="J1800" s="168" t="s">
        <v>1607</v>
      </c>
      <c r="K1800" s="382">
        <v>43750</v>
      </c>
      <c r="L1800" s="197"/>
      <c r="M1800" s="167"/>
    </row>
    <row r="1801" spans="1:13" x14ac:dyDescent="0.2">
      <c r="A1801" s="173"/>
      <c r="B1801" s="174"/>
      <c r="C1801" s="175"/>
      <c r="D1801" s="176"/>
      <c r="E1801" s="176"/>
      <c r="F1801" s="176"/>
      <c r="G1801" s="176"/>
      <c r="H1801" s="250"/>
      <c r="I1801" s="167" t="s">
        <v>2341</v>
      </c>
      <c r="J1801" s="207" t="s">
        <v>1607</v>
      </c>
      <c r="K1801" s="214">
        <v>43750</v>
      </c>
      <c r="L1801" s="197"/>
      <c r="M1801" s="167"/>
    </row>
    <row r="1802" spans="1:13" x14ac:dyDescent="0.2">
      <c r="A1802" s="173"/>
      <c r="B1802" s="174"/>
      <c r="C1802" s="175"/>
      <c r="D1802" s="176"/>
      <c r="E1802" s="176"/>
      <c r="F1802" s="176"/>
      <c r="G1802" s="176"/>
      <c r="H1802" s="250"/>
      <c r="I1802" s="177" t="s">
        <v>2342</v>
      </c>
      <c r="J1802" s="207" t="s">
        <v>1607</v>
      </c>
      <c r="K1802" s="382">
        <v>43750</v>
      </c>
      <c r="L1802" s="197"/>
      <c r="M1802" s="167"/>
    </row>
    <row r="1803" spans="1:13" x14ac:dyDescent="0.2">
      <c r="A1803" s="185"/>
      <c r="B1803" s="186"/>
      <c r="C1803" s="187"/>
      <c r="D1803" s="188"/>
      <c r="E1803" s="188"/>
      <c r="F1803" s="188"/>
      <c r="G1803" s="188"/>
      <c r="H1803" s="251"/>
      <c r="I1803" s="202"/>
      <c r="J1803" s="203"/>
      <c r="K1803" s="247">
        <f>SUM(K1795:K1802)</f>
        <v>350000</v>
      </c>
      <c r="L1803" s="205"/>
      <c r="M1803" s="167"/>
    </row>
    <row r="1804" spans="1:13" ht="24" customHeight="1" x14ac:dyDescent="0.2">
      <c r="A1804" s="163">
        <v>430</v>
      </c>
      <c r="B1804" s="164" t="s">
        <v>2343</v>
      </c>
      <c r="C1804" s="165"/>
      <c r="D1804" s="252" t="s">
        <v>107</v>
      </c>
      <c r="E1804" s="166"/>
      <c r="F1804" s="166"/>
      <c r="G1804" s="166"/>
      <c r="H1804" s="166" t="s">
        <v>108</v>
      </c>
      <c r="I1804" s="217" t="s">
        <v>2344</v>
      </c>
      <c r="J1804" s="304" t="s">
        <v>186</v>
      </c>
      <c r="K1804" s="169">
        <f>K1808*85%</f>
        <v>4675</v>
      </c>
      <c r="L1804" s="170" t="s">
        <v>111</v>
      </c>
      <c r="M1804" s="171" t="s">
        <v>2345</v>
      </c>
    </row>
    <row r="1805" spans="1:13" x14ac:dyDescent="0.2">
      <c r="A1805" s="173"/>
      <c r="B1805" s="174"/>
      <c r="C1805" s="175"/>
      <c r="D1805" s="245"/>
      <c r="E1805" s="176"/>
      <c r="F1805" s="176"/>
      <c r="G1805" s="176"/>
      <c r="H1805" s="176"/>
      <c r="I1805" s="167" t="s">
        <v>2346</v>
      </c>
      <c r="J1805" s="168" t="s">
        <v>791</v>
      </c>
      <c r="K1805" s="230">
        <f>K1808*5%</f>
        <v>275</v>
      </c>
      <c r="L1805" s="180"/>
      <c r="M1805" s="181"/>
    </row>
    <row r="1806" spans="1:13" x14ac:dyDescent="0.2">
      <c r="A1806" s="173"/>
      <c r="B1806" s="174"/>
      <c r="C1806" s="175"/>
      <c r="D1806" s="245"/>
      <c r="E1806" s="176"/>
      <c r="F1806" s="176"/>
      <c r="G1806" s="176"/>
      <c r="H1806" s="176"/>
      <c r="I1806" s="177" t="s">
        <v>2347</v>
      </c>
      <c r="J1806" s="178" t="s">
        <v>683</v>
      </c>
      <c r="K1806" s="208">
        <f>K1808*5%</f>
        <v>275</v>
      </c>
      <c r="L1806" s="180"/>
      <c r="M1806" s="181"/>
    </row>
    <row r="1807" spans="1:13" x14ac:dyDescent="0.2">
      <c r="A1807" s="173"/>
      <c r="B1807" s="174"/>
      <c r="C1807" s="175"/>
      <c r="D1807" s="245"/>
      <c r="E1807" s="176"/>
      <c r="F1807" s="176"/>
      <c r="G1807" s="176"/>
      <c r="H1807" s="176"/>
      <c r="I1807" s="177" t="s">
        <v>766</v>
      </c>
      <c r="J1807" s="178" t="s">
        <v>683</v>
      </c>
      <c r="K1807" s="201">
        <f>K1808*5%</f>
        <v>275</v>
      </c>
      <c r="L1807" s="180"/>
      <c r="M1807" s="181"/>
    </row>
    <row r="1808" spans="1:13" x14ac:dyDescent="0.2">
      <c r="A1808" s="185"/>
      <c r="B1808" s="186"/>
      <c r="C1808" s="187"/>
      <c r="D1808" s="246"/>
      <c r="E1808" s="188"/>
      <c r="F1808" s="188"/>
      <c r="G1808" s="188"/>
      <c r="H1808" s="188"/>
      <c r="I1808" s="202"/>
      <c r="J1808" s="215"/>
      <c r="K1808" s="216">
        <v>5500</v>
      </c>
      <c r="L1808" s="192"/>
      <c r="M1808" s="193"/>
    </row>
    <row r="1809" spans="1:13" ht="21" customHeight="1" x14ac:dyDescent="0.2">
      <c r="A1809" s="163">
        <v>431</v>
      </c>
      <c r="B1809" s="164" t="s">
        <v>2348</v>
      </c>
      <c r="C1809" s="165"/>
      <c r="D1809" s="252" t="s">
        <v>107</v>
      </c>
      <c r="E1809" s="166"/>
      <c r="F1809" s="166"/>
      <c r="G1809" s="166"/>
      <c r="H1809" s="166" t="s">
        <v>137</v>
      </c>
      <c r="I1809" s="167" t="s">
        <v>2349</v>
      </c>
      <c r="J1809" s="168" t="s">
        <v>186</v>
      </c>
      <c r="K1809" s="169">
        <f>K1812*90%</f>
        <v>3600</v>
      </c>
      <c r="L1809" s="170" t="s">
        <v>111</v>
      </c>
      <c r="M1809" s="171" t="s">
        <v>2350</v>
      </c>
    </row>
    <row r="1810" spans="1:13" x14ac:dyDescent="0.2">
      <c r="A1810" s="173"/>
      <c r="B1810" s="174"/>
      <c r="C1810" s="175"/>
      <c r="D1810" s="245"/>
      <c r="E1810" s="176"/>
      <c r="F1810" s="176"/>
      <c r="G1810" s="176"/>
      <c r="H1810" s="176"/>
      <c r="I1810" s="184" t="s">
        <v>2351</v>
      </c>
      <c r="J1810" s="183" t="s">
        <v>681</v>
      </c>
      <c r="K1810" s="208">
        <f>K1812*5%</f>
        <v>200</v>
      </c>
      <c r="L1810" s="180"/>
      <c r="M1810" s="181"/>
    </row>
    <row r="1811" spans="1:13" x14ac:dyDescent="0.2">
      <c r="A1811" s="173"/>
      <c r="B1811" s="174"/>
      <c r="C1811" s="175"/>
      <c r="D1811" s="245"/>
      <c r="E1811" s="176"/>
      <c r="F1811" s="176"/>
      <c r="G1811" s="176"/>
      <c r="H1811" s="176"/>
      <c r="I1811" s="276" t="s">
        <v>2352</v>
      </c>
      <c r="J1811" s="183" t="s">
        <v>1607</v>
      </c>
      <c r="K1811" s="208">
        <f>K1812*5%</f>
        <v>200</v>
      </c>
      <c r="L1811" s="180"/>
      <c r="M1811" s="181"/>
    </row>
    <row r="1812" spans="1:13" x14ac:dyDescent="0.2">
      <c r="A1812" s="185"/>
      <c r="B1812" s="186"/>
      <c r="C1812" s="187"/>
      <c r="D1812" s="246"/>
      <c r="E1812" s="188"/>
      <c r="F1812" s="188"/>
      <c r="G1812" s="188"/>
      <c r="H1812" s="188"/>
      <c r="I1812" s="189"/>
      <c r="J1812" s="190"/>
      <c r="K1812" s="201">
        <v>4000</v>
      </c>
      <c r="L1812" s="192"/>
      <c r="M1812" s="193"/>
    </row>
    <row r="1813" spans="1:13" ht="24" customHeight="1" x14ac:dyDescent="0.2">
      <c r="A1813" s="163">
        <v>432</v>
      </c>
      <c r="B1813" s="164" t="s">
        <v>2353</v>
      </c>
      <c r="C1813" s="165"/>
      <c r="D1813" s="252" t="s">
        <v>107</v>
      </c>
      <c r="E1813" s="166"/>
      <c r="F1813" s="166"/>
      <c r="G1813" s="166"/>
      <c r="H1813" s="166" t="s">
        <v>137</v>
      </c>
      <c r="I1813" s="217" t="s">
        <v>2354</v>
      </c>
      <c r="J1813" s="168" t="s">
        <v>186</v>
      </c>
      <c r="K1813" s="419">
        <f>K1816*80%</f>
        <v>3200</v>
      </c>
      <c r="L1813" s="171" t="s">
        <v>111</v>
      </c>
      <c r="M1813" s="171" t="s">
        <v>2355</v>
      </c>
    </row>
    <row r="1814" spans="1:13" x14ac:dyDescent="0.2">
      <c r="A1814" s="173"/>
      <c r="B1814" s="174"/>
      <c r="C1814" s="175"/>
      <c r="D1814" s="245"/>
      <c r="E1814" s="176"/>
      <c r="F1814" s="176"/>
      <c r="G1814" s="176"/>
      <c r="H1814" s="176"/>
      <c r="I1814" s="184" t="s">
        <v>2356</v>
      </c>
      <c r="J1814" s="226" t="s">
        <v>1607</v>
      </c>
      <c r="K1814" s="421">
        <f>K1816*10%</f>
        <v>400</v>
      </c>
      <c r="L1814" s="181"/>
      <c r="M1814" s="181"/>
    </row>
    <row r="1815" spans="1:13" x14ac:dyDescent="0.2">
      <c r="A1815" s="173"/>
      <c r="B1815" s="174"/>
      <c r="C1815" s="175"/>
      <c r="D1815" s="245"/>
      <c r="E1815" s="176"/>
      <c r="F1815" s="176"/>
      <c r="G1815" s="176"/>
      <c r="H1815" s="176"/>
      <c r="I1815" s="167" t="s">
        <v>2357</v>
      </c>
      <c r="J1815" s="226" t="s">
        <v>1607</v>
      </c>
      <c r="K1815" s="421">
        <f>K1816*10%</f>
        <v>400</v>
      </c>
      <c r="L1815" s="181"/>
      <c r="M1815" s="181"/>
    </row>
    <row r="1816" spans="1:13" x14ac:dyDescent="0.2">
      <c r="A1816" s="185"/>
      <c r="B1816" s="186"/>
      <c r="C1816" s="187"/>
      <c r="D1816" s="246"/>
      <c r="E1816" s="188"/>
      <c r="F1816" s="188"/>
      <c r="G1816" s="188"/>
      <c r="H1816" s="188"/>
      <c r="I1816" s="202"/>
      <c r="J1816" s="203"/>
      <c r="K1816" s="472">
        <v>4000</v>
      </c>
      <c r="L1816" s="193"/>
      <c r="M1816" s="193"/>
    </row>
    <row r="1817" spans="1:13" ht="21.75" customHeight="1" x14ac:dyDescent="0.2">
      <c r="A1817" s="163">
        <v>433</v>
      </c>
      <c r="B1817" s="164" t="s">
        <v>2358</v>
      </c>
      <c r="C1817" s="165"/>
      <c r="D1817" s="252" t="s">
        <v>107</v>
      </c>
      <c r="E1817" s="166"/>
      <c r="F1817" s="166"/>
      <c r="G1817" s="166"/>
      <c r="H1817" s="166"/>
      <c r="I1817" s="276" t="s">
        <v>2359</v>
      </c>
      <c r="J1817" s="249" t="s">
        <v>186</v>
      </c>
      <c r="K1817" s="213">
        <f>4000*15%</f>
        <v>600</v>
      </c>
      <c r="L1817" s="171" t="s">
        <v>111</v>
      </c>
      <c r="M1817" s="171" t="s">
        <v>2360</v>
      </c>
    </row>
    <row r="1818" spans="1:13" x14ac:dyDescent="0.2">
      <c r="A1818" s="173"/>
      <c r="B1818" s="174"/>
      <c r="C1818" s="175"/>
      <c r="D1818" s="245"/>
      <c r="E1818" s="176"/>
      <c r="F1818" s="176"/>
      <c r="G1818" s="176"/>
      <c r="H1818" s="176"/>
      <c r="I1818" s="184" t="s">
        <v>2361</v>
      </c>
      <c r="J1818" s="207" t="s">
        <v>1607</v>
      </c>
      <c r="K1818" s="200">
        <f>4000*10%</f>
        <v>400</v>
      </c>
      <c r="L1818" s="181"/>
      <c r="M1818" s="181"/>
    </row>
    <row r="1819" spans="1:13" x14ac:dyDescent="0.2">
      <c r="A1819" s="173"/>
      <c r="B1819" s="174"/>
      <c r="C1819" s="175"/>
      <c r="D1819" s="245"/>
      <c r="E1819" s="176"/>
      <c r="F1819" s="176"/>
      <c r="G1819" s="176"/>
      <c r="H1819" s="176"/>
      <c r="I1819" s="184" t="s">
        <v>2362</v>
      </c>
      <c r="J1819" s="207" t="s">
        <v>1607</v>
      </c>
      <c r="K1819" s="200">
        <f>4000*10%</f>
        <v>400</v>
      </c>
      <c r="L1819" s="181"/>
      <c r="M1819" s="181"/>
    </row>
    <row r="1820" spans="1:13" x14ac:dyDescent="0.2">
      <c r="A1820" s="173"/>
      <c r="B1820" s="174"/>
      <c r="C1820" s="175"/>
      <c r="D1820" s="245"/>
      <c r="E1820" s="176"/>
      <c r="F1820" s="176"/>
      <c r="G1820" s="176"/>
      <c r="H1820" s="176"/>
      <c r="I1820" s="184" t="s">
        <v>2363</v>
      </c>
      <c r="J1820" s="207" t="s">
        <v>1607</v>
      </c>
      <c r="K1820" s="200">
        <f>4000*65%</f>
        <v>2600</v>
      </c>
      <c r="L1820" s="181"/>
      <c r="M1820" s="181"/>
    </row>
    <row r="1821" spans="1:13" x14ac:dyDescent="0.2">
      <c r="A1821" s="185"/>
      <c r="B1821" s="186"/>
      <c r="C1821" s="187"/>
      <c r="D1821" s="246"/>
      <c r="E1821" s="188"/>
      <c r="F1821" s="188"/>
      <c r="G1821" s="188"/>
      <c r="H1821" s="188"/>
      <c r="I1821" s="202"/>
      <c r="J1821" s="203"/>
      <c r="K1821" s="211">
        <f>SUM(K1817:K1820)</f>
        <v>4000</v>
      </c>
      <c r="L1821" s="193"/>
      <c r="M1821" s="193"/>
    </row>
    <row r="1822" spans="1:13" ht="23.25" customHeight="1" x14ac:dyDescent="0.2">
      <c r="A1822" s="163">
        <v>434</v>
      </c>
      <c r="B1822" s="164" t="s">
        <v>2364</v>
      </c>
      <c r="C1822" s="165"/>
      <c r="D1822" s="252" t="s">
        <v>107</v>
      </c>
      <c r="E1822" s="166"/>
      <c r="F1822" s="166"/>
      <c r="G1822" s="166"/>
      <c r="H1822" s="166" t="s">
        <v>137</v>
      </c>
      <c r="I1822" s="276" t="s">
        <v>2365</v>
      </c>
      <c r="J1822" s="249" t="s">
        <v>186</v>
      </c>
      <c r="K1822" s="210">
        <f>6500*50%</f>
        <v>3250</v>
      </c>
      <c r="L1822" s="171" t="s">
        <v>111</v>
      </c>
      <c r="M1822" s="171" t="s">
        <v>2366</v>
      </c>
    </row>
    <row r="1823" spans="1:13" x14ac:dyDescent="0.2">
      <c r="A1823" s="173"/>
      <c r="B1823" s="174"/>
      <c r="C1823" s="175"/>
      <c r="D1823" s="245"/>
      <c r="E1823" s="176"/>
      <c r="F1823" s="176"/>
      <c r="G1823" s="176"/>
      <c r="H1823" s="176"/>
      <c r="I1823" s="184" t="s">
        <v>2367</v>
      </c>
      <c r="J1823" s="207" t="s">
        <v>1607</v>
      </c>
      <c r="K1823" s="214">
        <f>6500*40%</f>
        <v>2600</v>
      </c>
      <c r="L1823" s="181"/>
      <c r="M1823" s="181"/>
    </row>
    <row r="1824" spans="1:13" x14ac:dyDescent="0.2">
      <c r="A1824" s="173"/>
      <c r="B1824" s="174"/>
      <c r="C1824" s="175"/>
      <c r="D1824" s="245"/>
      <c r="E1824" s="176"/>
      <c r="F1824" s="176"/>
      <c r="G1824" s="176"/>
      <c r="H1824" s="176"/>
      <c r="I1824" s="184" t="s">
        <v>2368</v>
      </c>
      <c r="J1824" s="207" t="s">
        <v>1607</v>
      </c>
      <c r="K1824" s="214">
        <f>6500*10%</f>
        <v>650</v>
      </c>
      <c r="L1824" s="181"/>
      <c r="M1824" s="181"/>
    </row>
    <row r="1825" spans="1:13" x14ac:dyDescent="0.2">
      <c r="A1825" s="185"/>
      <c r="B1825" s="186"/>
      <c r="C1825" s="187"/>
      <c r="D1825" s="246"/>
      <c r="E1825" s="188"/>
      <c r="F1825" s="188"/>
      <c r="G1825" s="188"/>
      <c r="H1825" s="188"/>
      <c r="I1825" s="202"/>
      <c r="J1825" s="203"/>
      <c r="K1825" s="211">
        <f>SUM(K1822:K1824)</f>
        <v>6500</v>
      </c>
      <c r="L1825" s="193"/>
      <c r="M1825" s="193"/>
    </row>
    <row r="1826" spans="1:13" ht="23.25" customHeight="1" x14ac:dyDescent="0.2">
      <c r="A1826" s="163">
        <v>435</v>
      </c>
      <c r="B1826" s="164" t="s">
        <v>2369</v>
      </c>
      <c r="C1826" s="165"/>
      <c r="D1826" s="252" t="s">
        <v>107</v>
      </c>
      <c r="E1826" s="166"/>
      <c r="F1826" s="166"/>
      <c r="G1826" s="166"/>
      <c r="H1826" s="166" t="s">
        <v>137</v>
      </c>
      <c r="I1826" s="276" t="s">
        <v>2370</v>
      </c>
      <c r="J1826" s="249" t="s">
        <v>186</v>
      </c>
      <c r="K1826" s="210">
        <f>5000*60%</f>
        <v>3000</v>
      </c>
      <c r="L1826" s="171" t="s">
        <v>111</v>
      </c>
      <c r="M1826" s="171" t="s">
        <v>2371</v>
      </c>
    </row>
    <row r="1827" spans="1:13" x14ac:dyDescent="0.2">
      <c r="A1827" s="173"/>
      <c r="B1827" s="174"/>
      <c r="C1827" s="175"/>
      <c r="D1827" s="245"/>
      <c r="E1827" s="176"/>
      <c r="F1827" s="176"/>
      <c r="G1827" s="176"/>
      <c r="H1827" s="176"/>
      <c r="I1827" s="184" t="s">
        <v>2372</v>
      </c>
      <c r="J1827" s="207" t="s">
        <v>1607</v>
      </c>
      <c r="K1827" s="214">
        <f>5000*20%</f>
        <v>1000</v>
      </c>
      <c r="L1827" s="181"/>
      <c r="M1827" s="181"/>
    </row>
    <row r="1828" spans="1:13" x14ac:dyDescent="0.2">
      <c r="A1828" s="173"/>
      <c r="B1828" s="174"/>
      <c r="C1828" s="175"/>
      <c r="D1828" s="245"/>
      <c r="E1828" s="176"/>
      <c r="F1828" s="176"/>
      <c r="G1828" s="176"/>
      <c r="H1828" s="176"/>
      <c r="I1828" s="184" t="s">
        <v>2373</v>
      </c>
      <c r="J1828" s="207" t="s">
        <v>1607</v>
      </c>
      <c r="K1828" s="214">
        <f>5000*20%</f>
        <v>1000</v>
      </c>
      <c r="L1828" s="181"/>
      <c r="M1828" s="181"/>
    </row>
    <row r="1829" spans="1:13" x14ac:dyDescent="0.2">
      <c r="A1829" s="185"/>
      <c r="B1829" s="186"/>
      <c r="C1829" s="187"/>
      <c r="D1829" s="246"/>
      <c r="E1829" s="188"/>
      <c r="F1829" s="188"/>
      <c r="G1829" s="188"/>
      <c r="H1829" s="188"/>
      <c r="I1829" s="202"/>
      <c r="J1829" s="203"/>
      <c r="K1829" s="204">
        <f>SUM(K1826:K1828)</f>
        <v>5000</v>
      </c>
      <c r="L1829" s="193"/>
      <c r="M1829" s="193"/>
    </row>
    <row r="1830" spans="1:13" ht="23.25" customHeight="1" x14ac:dyDescent="0.2">
      <c r="A1830" s="163">
        <v>436</v>
      </c>
      <c r="B1830" s="164" t="s">
        <v>2374</v>
      </c>
      <c r="C1830" s="165"/>
      <c r="D1830" s="252" t="s">
        <v>107</v>
      </c>
      <c r="E1830" s="166"/>
      <c r="F1830" s="166"/>
      <c r="G1830" s="166"/>
      <c r="H1830" s="166" t="s">
        <v>108</v>
      </c>
      <c r="I1830" s="276" t="s">
        <v>2375</v>
      </c>
      <c r="J1830" s="249" t="s">
        <v>186</v>
      </c>
      <c r="K1830" s="213">
        <f>5000*50%</f>
        <v>2500</v>
      </c>
      <c r="L1830" s="171" t="s">
        <v>111</v>
      </c>
      <c r="M1830" s="171" t="s">
        <v>2376</v>
      </c>
    </row>
    <row r="1831" spans="1:13" x14ac:dyDescent="0.2">
      <c r="A1831" s="173"/>
      <c r="B1831" s="174"/>
      <c r="C1831" s="175"/>
      <c r="D1831" s="245"/>
      <c r="E1831" s="176"/>
      <c r="F1831" s="176"/>
      <c r="G1831" s="176"/>
      <c r="H1831" s="176"/>
      <c r="I1831" s="184" t="s">
        <v>2377</v>
      </c>
      <c r="J1831" s="207" t="s">
        <v>1607</v>
      </c>
      <c r="K1831" s="200">
        <f>5000*20%</f>
        <v>1000</v>
      </c>
      <c r="L1831" s="181"/>
      <c r="M1831" s="181"/>
    </row>
    <row r="1832" spans="1:13" x14ac:dyDescent="0.2">
      <c r="A1832" s="173"/>
      <c r="B1832" s="174"/>
      <c r="C1832" s="175"/>
      <c r="D1832" s="245"/>
      <c r="E1832" s="176"/>
      <c r="F1832" s="176"/>
      <c r="G1832" s="176"/>
      <c r="H1832" s="176"/>
      <c r="I1832" s="184" t="s">
        <v>2373</v>
      </c>
      <c r="J1832" s="207" t="s">
        <v>1607</v>
      </c>
      <c r="K1832" s="200">
        <f>5000*20%</f>
        <v>1000</v>
      </c>
      <c r="L1832" s="181"/>
      <c r="M1832" s="181"/>
    </row>
    <row r="1833" spans="1:13" x14ac:dyDescent="0.2">
      <c r="A1833" s="173"/>
      <c r="B1833" s="174"/>
      <c r="C1833" s="175"/>
      <c r="D1833" s="245"/>
      <c r="E1833" s="176"/>
      <c r="F1833" s="176"/>
      <c r="G1833" s="176"/>
      <c r="H1833" s="176"/>
      <c r="I1833" s="184" t="s">
        <v>2378</v>
      </c>
      <c r="J1833" s="207" t="s">
        <v>1607</v>
      </c>
      <c r="K1833" s="200">
        <f>5000*10%</f>
        <v>500</v>
      </c>
      <c r="L1833" s="181"/>
      <c r="M1833" s="181"/>
    </row>
    <row r="1834" spans="1:13" x14ac:dyDescent="0.2">
      <c r="A1834" s="185"/>
      <c r="B1834" s="186"/>
      <c r="C1834" s="187"/>
      <c r="D1834" s="246"/>
      <c r="E1834" s="188"/>
      <c r="F1834" s="188"/>
      <c r="G1834" s="188"/>
      <c r="H1834" s="188"/>
      <c r="I1834" s="202"/>
      <c r="J1834" s="203"/>
      <c r="K1834" s="211">
        <f>SUM(K1830:K1833)</f>
        <v>5000</v>
      </c>
      <c r="L1834" s="193"/>
      <c r="M1834" s="193"/>
    </row>
    <row r="1835" spans="1:13" ht="22.5" customHeight="1" x14ac:dyDescent="0.2">
      <c r="A1835" s="163">
        <v>437</v>
      </c>
      <c r="B1835" s="164" t="s">
        <v>2379</v>
      </c>
      <c r="C1835" s="165"/>
      <c r="D1835" s="252" t="s">
        <v>107</v>
      </c>
      <c r="E1835" s="166"/>
      <c r="F1835" s="166"/>
      <c r="G1835" s="166"/>
      <c r="H1835" s="166" t="s">
        <v>137</v>
      </c>
      <c r="I1835" s="276" t="s">
        <v>2380</v>
      </c>
      <c r="J1835" s="249" t="s">
        <v>186</v>
      </c>
      <c r="K1835" s="212">
        <f>6500*80%</f>
        <v>5200</v>
      </c>
      <c r="L1835" s="170" t="s">
        <v>111</v>
      </c>
      <c r="M1835" s="171" t="s">
        <v>2381</v>
      </c>
    </row>
    <row r="1836" spans="1:13" x14ac:dyDescent="0.2">
      <c r="A1836" s="173"/>
      <c r="B1836" s="174"/>
      <c r="C1836" s="175"/>
      <c r="D1836" s="245"/>
      <c r="E1836" s="176"/>
      <c r="F1836" s="176"/>
      <c r="G1836" s="176"/>
      <c r="H1836" s="176"/>
      <c r="I1836" s="184" t="s">
        <v>2382</v>
      </c>
      <c r="J1836" s="207" t="s">
        <v>1607</v>
      </c>
      <c r="K1836" s="230">
        <f>6500*10%</f>
        <v>650</v>
      </c>
      <c r="L1836" s="180"/>
      <c r="M1836" s="181"/>
    </row>
    <row r="1837" spans="1:13" x14ac:dyDescent="0.2">
      <c r="A1837" s="173"/>
      <c r="B1837" s="174"/>
      <c r="C1837" s="175"/>
      <c r="D1837" s="245"/>
      <c r="E1837" s="176"/>
      <c r="F1837" s="176"/>
      <c r="G1837" s="176"/>
      <c r="H1837" s="176"/>
      <c r="I1837" s="184" t="s">
        <v>2383</v>
      </c>
      <c r="J1837" s="207" t="s">
        <v>1607</v>
      </c>
      <c r="K1837" s="230">
        <f>6500*10%</f>
        <v>650</v>
      </c>
      <c r="L1837" s="180"/>
      <c r="M1837" s="181"/>
    </row>
    <row r="1838" spans="1:13" x14ac:dyDescent="0.2">
      <c r="A1838" s="185"/>
      <c r="B1838" s="186"/>
      <c r="C1838" s="187"/>
      <c r="D1838" s="246"/>
      <c r="E1838" s="188"/>
      <c r="F1838" s="188"/>
      <c r="G1838" s="188"/>
      <c r="H1838" s="188"/>
      <c r="I1838" s="202"/>
      <c r="J1838" s="203"/>
      <c r="K1838" s="216">
        <f>SUM(K1835:K1837)</f>
        <v>6500</v>
      </c>
      <c r="L1838" s="192"/>
      <c r="M1838" s="193"/>
    </row>
    <row r="1839" spans="1:13" ht="20.25" customHeight="1" x14ac:dyDescent="0.2">
      <c r="A1839" s="163">
        <v>438</v>
      </c>
      <c r="B1839" s="164" t="s">
        <v>2384</v>
      </c>
      <c r="C1839" s="165"/>
      <c r="D1839" s="252" t="s">
        <v>107</v>
      </c>
      <c r="E1839" s="166"/>
      <c r="F1839" s="166"/>
      <c r="G1839" s="166"/>
      <c r="H1839" s="166" t="s">
        <v>137</v>
      </c>
      <c r="I1839" s="276" t="s">
        <v>2385</v>
      </c>
      <c r="J1839" s="249" t="s">
        <v>186</v>
      </c>
      <c r="K1839" s="206">
        <f>5000*10%</f>
        <v>500</v>
      </c>
      <c r="L1839" s="170" t="s">
        <v>111</v>
      </c>
      <c r="M1839" s="171" t="s">
        <v>2386</v>
      </c>
    </row>
    <row r="1840" spans="1:13" ht="20.25" customHeight="1" x14ac:dyDescent="0.2">
      <c r="A1840" s="173"/>
      <c r="B1840" s="174"/>
      <c r="C1840" s="175"/>
      <c r="D1840" s="245"/>
      <c r="E1840" s="176"/>
      <c r="F1840" s="176"/>
      <c r="G1840" s="176"/>
      <c r="H1840" s="176"/>
      <c r="I1840" s="184" t="s">
        <v>2387</v>
      </c>
      <c r="J1840" s="207" t="s">
        <v>1607</v>
      </c>
      <c r="K1840" s="208">
        <f>5000*80%</f>
        <v>4000</v>
      </c>
      <c r="L1840" s="180"/>
      <c r="M1840" s="181"/>
    </row>
    <row r="1841" spans="1:13" ht="20.25" customHeight="1" x14ac:dyDescent="0.2">
      <c r="A1841" s="173"/>
      <c r="B1841" s="174"/>
      <c r="C1841" s="175"/>
      <c r="D1841" s="245"/>
      <c r="E1841" s="176"/>
      <c r="F1841" s="176"/>
      <c r="G1841" s="176"/>
      <c r="H1841" s="176"/>
      <c r="I1841" s="184" t="s">
        <v>2383</v>
      </c>
      <c r="J1841" s="207" t="s">
        <v>1607</v>
      </c>
      <c r="K1841" s="208">
        <f t="shared" ref="K1841" si="41">5000*10%</f>
        <v>500</v>
      </c>
      <c r="L1841" s="180"/>
      <c r="M1841" s="181"/>
    </row>
    <row r="1842" spans="1:13" ht="20.25" customHeight="1" x14ac:dyDescent="0.2">
      <c r="A1842" s="185"/>
      <c r="B1842" s="186"/>
      <c r="C1842" s="187"/>
      <c r="D1842" s="246"/>
      <c r="E1842" s="188"/>
      <c r="F1842" s="188"/>
      <c r="G1842" s="188"/>
      <c r="H1842" s="188"/>
      <c r="I1842" s="202"/>
      <c r="J1842" s="203"/>
      <c r="K1842" s="191">
        <f>SUM(K1839:K1841)</f>
        <v>5000</v>
      </c>
      <c r="L1842" s="192"/>
      <c r="M1842" s="193"/>
    </row>
    <row r="1843" spans="1:13" ht="21.75" customHeight="1" x14ac:dyDescent="0.2">
      <c r="A1843" s="163">
        <v>439</v>
      </c>
      <c r="B1843" s="164" t="s">
        <v>2388</v>
      </c>
      <c r="C1843" s="165"/>
      <c r="D1843" s="252" t="s">
        <v>107</v>
      </c>
      <c r="E1843" s="166"/>
      <c r="F1843" s="166"/>
      <c r="G1843" s="166"/>
      <c r="H1843" s="166"/>
      <c r="I1843" s="276" t="s">
        <v>2389</v>
      </c>
      <c r="J1843" s="249" t="s">
        <v>186</v>
      </c>
      <c r="K1843" s="213">
        <f>6500*15%</f>
        <v>975</v>
      </c>
      <c r="L1843" s="171" t="s">
        <v>111</v>
      </c>
      <c r="M1843" s="171" t="s">
        <v>2390</v>
      </c>
    </row>
    <row r="1844" spans="1:13" x14ac:dyDescent="0.2">
      <c r="A1844" s="173"/>
      <c r="B1844" s="174"/>
      <c r="C1844" s="175"/>
      <c r="D1844" s="245"/>
      <c r="E1844" s="176"/>
      <c r="F1844" s="176"/>
      <c r="G1844" s="176"/>
      <c r="H1844" s="176"/>
      <c r="I1844" s="184" t="s">
        <v>2391</v>
      </c>
      <c r="J1844" s="207" t="s">
        <v>1607</v>
      </c>
      <c r="K1844" s="200">
        <f>6500*20%</f>
        <v>1300</v>
      </c>
      <c r="L1844" s="181"/>
      <c r="M1844" s="181"/>
    </row>
    <row r="1845" spans="1:13" x14ac:dyDescent="0.2">
      <c r="A1845" s="173"/>
      <c r="B1845" s="174"/>
      <c r="C1845" s="175"/>
      <c r="D1845" s="245"/>
      <c r="E1845" s="176"/>
      <c r="F1845" s="176"/>
      <c r="G1845" s="176"/>
      <c r="H1845" s="176"/>
      <c r="I1845" s="184" t="s">
        <v>2392</v>
      </c>
      <c r="J1845" s="207" t="s">
        <v>1607</v>
      </c>
      <c r="K1845" s="200">
        <f t="shared" ref="K1845:K1848" si="42">6500*15%</f>
        <v>975</v>
      </c>
      <c r="L1845" s="181"/>
      <c r="M1845" s="181"/>
    </row>
    <row r="1846" spans="1:13" x14ac:dyDescent="0.2">
      <c r="A1846" s="173"/>
      <c r="B1846" s="174"/>
      <c r="C1846" s="175"/>
      <c r="D1846" s="245"/>
      <c r="E1846" s="176"/>
      <c r="F1846" s="176"/>
      <c r="G1846" s="176"/>
      <c r="H1846" s="176"/>
      <c r="I1846" s="184" t="s">
        <v>2393</v>
      </c>
      <c r="J1846" s="207" t="s">
        <v>1607</v>
      </c>
      <c r="K1846" s="200">
        <f>6500*20%</f>
        <v>1300</v>
      </c>
      <c r="L1846" s="181"/>
      <c r="M1846" s="181"/>
    </row>
    <row r="1847" spans="1:13" x14ac:dyDescent="0.2">
      <c r="A1847" s="173"/>
      <c r="B1847" s="174"/>
      <c r="C1847" s="175"/>
      <c r="D1847" s="245"/>
      <c r="E1847" s="176"/>
      <c r="F1847" s="176"/>
      <c r="G1847" s="176"/>
      <c r="H1847" s="176"/>
      <c r="I1847" s="184" t="s">
        <v>2394</v>
      </c>
      <c r="J1847" s="207" t="s">
        <v>1607</v>
      </c>
      <c r="K1847" s="200">
        <f t="shared" si="42"/>
        <v>975</v>
      </c>
      <c r="L1847" s="181"/>
      <c r="M1847" s="181"/>
    </row>
    <row r="1848" spans="1:13" x14ac:dyDescent="0.2">
      <c r="A1848" s="173"/>
      <c r="B1848" s="174"/>
      <c r="C1848" s="175"/>
      <c r="D1848" s="245"/>
      <c r="E1848" s="176"/>
      <c r="F1848" s="176"/>
      <c r="G1848" s="176"/>
      <c r="H1848" s="176"/>
      <c r="I1848" s="184" t="s">
        <v>2395</v>
      </c>
      <c r="J1848" s="207" t="s">
        <v>1607</v>
      </c>
      <c r="K1848" s="200">
        <f t="shared" si="42"/>
        <v>975</v>
      </c>
      <c r="L1848" s="181"/>
      <c r="M1848" s="181"/>
    </row>
    <row r="1849" spans="1:13" x14ac:dyDescent="0.2">
      <c r="A1849" s="185"/>
      <c r="B1849" s="186"/>
      <c r="C1849" s="187"/>
      <c r="D1849" s="246"/>
      <c r="E1849" s="188"/>
      <c r="F1849" s="188"/>
      <c r="G1849" s="188"/>
      <c r="H1849" s="188"/>
      <c r="I1849" s="202"/>
      <c r="J1849" s="203"/>
      <c r="K1849" s="211">
        <f>SUM(K1843:K1848)</f>
        <v>6500</v>
      </c>
      <c r="L1849" s="193"/>
      <c r="M1849" s="193"/>
    </row>
    <row r="1850" spans="1:13" ht="22.5" customHeight="1" x14ac:dyDescent="0.2">
      <c r="A1850" s="163">
        <v>440</v>
      </c>
      <c r="B1850" s="164" t="s">
        <v>2396</v>
      </c>
      <c r="C1850" s="165"/>
      <c r="D1850" s="252" t="s">
        <v>107</v>
      </c>
      <c r="E1850" s="166"/>
      <c r="F1850" s="166"/>
      <c r="G1850" s="166"/>
      <c r="H1850" s="166" t="s">
        <v>137</v>
      </c>
      <c r="I1850" s="276" t="s">
        <v>2397</v>
      </c>
      <c r="J1850" s="249" t="s">
        <v>1607</v>
      </c>
      <c r="K1850" s="206">
        <f>5000*40%</f>
        <v>2000</v>
      </c>
      <c r="L1850" s="170" t="s">
        <v>111</v>
      </c>
      <c r="M1850" s="171" t="s">
        <v>2398</v>
      </c>
    </row>
    <row r="1851" spans="1:13" x14ac:dyDescent="0.2">
      <c r="A1851" s="173"/>
      <c r="B1851" s="174"/>
      <c r="C1851" s="175"/>
      <c r="D1851" s="245"/>
      <c r="E1851" s="176"/>
      <c r="F1851" s="176"/>
      <c r="G1851" s="176"/>
      <c r="H1851" s="176"/>
      <c r="I1851" s="184" t="s">
        <v>2399</v>
      </c>
      <c r="J1851" s="207" t="s">
        <v>1607</v>
      </c>
      <c r="K1851" s="208">
        <f>5000*30%</f>
        <v>1500</v>
      </c>
      <c r="L1851" s="180"/>
      <c r="M1851" s="181"/>
    </row>
    <row r="1852" spans="1:13" x14ac:dyDescent="0.2">
      <c r="A1852" s="173"/>
      <c r="B1852" s="174"/>
      <c r="C1852" s="175"/>
      <c r="D1852" s="245"/>
      <c r="E1852" s="176"/>
      <c r="F1852" s="176"/>
      <c r="G1852" s="176"/>
      <c r="H1852" s="176"/>
      <c r="I1852" s="184" t="s">
        <v>2400</v>
      </c>
      <c r="J1852" s="207" t="s">
        <v>1607</v>
      </c>
      <c r="K1852" s="208">
        <f>5000*30%</f>
        <v>1500</v>
      </c>
      <c r="L1852" s="180"/>
      <c r="M1852" s="181"/>
    </row>
    <row r="1853" spans="1:13" x14ac:dyDescent="0.2">
      <c r="A1853" s="185"/>
      <c r="B1853" s="186"/>
      <c r="C1853" s="187"/>
      <c r="D1853" s="246"/>
      <c r="E1853" s="188"/>
      <c r="F1853" s="188"/>
      <c r="G1853" s="188"/>
      <c r="H1853" s="188"/>
      <c r="I1853" s="202"/>
      <c r="J1853" s="203"/>
      <c r="K1853" s="191">
        <f>SUM(K1850:K1852)</f>
        <v>5000</v>
      </c>
      <c r="L1853" s="192"/>
      <c r="M1853" s="193"/>
    </row>
    <row r="1854" spans="1:13" ht="24.75" customHeight="1" x14ac:dyDescent="0.2">
      <c r="A1854" s="163">
        <v>441</v>
      </c>
      <c r="B1854" s="164" t="s">
        <v>2401</v>
      </c>
      <c r="C1854" s="165"/>
      <c r="D1854" s="252" t="s">
        <v>107</v>
      </c>
      <c r="E1854" s="166"/>
      <c r="F1854" s="166"/>
      <c r="G1854" s="166"/>
      <c r="H1854" s="166" t="s">
        <v>108</v>
      </c>
      <c r="I1854" s="276" t="s">
        <v>2402</v>
      </c>
      <c r="J1854" s="249" t="s">
        <v>186</v>
      </c>
      <c r="K1854" s="206">
        <f>5000*30%</f>
        <v>1500</v>
      </c>
      <c r="L1854" s="170" t="s">
        <v>111</v>
      </c>
      <c r="M1854" s="171" t="s">
        <v>2403</v>
      </c>
    </row>
    <row r="1855" spans="1:13" x14ac:dyDescent="0.2">
      <c r="A1855" s="173"/>
      <c r="B1855" s="174"/>
      <c r="C1855" s="175"/>
      <c r="D1855" s="245"/>
      <c r="E1855" s="176"/>
      <c r="F1855" s="176"/>
      <c r="G1855" s="176"/>
      <c r="H1855" s="176"/>
      <c r="I1855" s="184" t="s">
        <v>2404</v>
      </c>
      <c r="J1855" s="207" t="s">
        <v>1607</v>
      </c>
      <c r="K1855" s="208">
        <f>5000*25%</f>
        <v>1250</v>
      </c>
      <c r="L1855" s="180"/>
      <c r="M1855" s="181"/>
    </row>
    <row r="1856" spans="1:13" x14ac:dyDescent="0.2">
      <c r="A1856" s="173"/>
      <c r="B1856" s="174"/>
      <c r="C1856" s="175"/>
      <c r="D1856" s="245"/>
      <c r="E1856" s="176"/>
      <c r="F1856" s="176"/>
      <c r="G1856" s="176"/>
      <c r="H1856" s="176"/>
      <c r="I1856" s="184" t="s">
        <v>2405</v>
      </c>
      <c r="J1856" s="207" t="s">
        <v>1607</v>
      </c>
      <c r="K1856" s="208">
        <f>5000*25%</f>
        <v>1250</v>
      </c>
      <c r="L1856" s="180"/>
      <c r="M1856" s="181"/>
    </row>
    <row r="1857" spans="1:13" x14ac:dyDescent="0.2">
      <c r="A1857" s="173"/>
      <c r="B1857" s="174"/>
      <c r="C1857" s="175"/>
      <c r="D1857" s="245"/>
      <c r="E1857" s="176"/>
      <c r="F1857" s="176"/>
      <c r="G1857" s="176"/>
      <c r="H1857" s="176"/>
      <c r="I1857" s="184" t="s">
        <v>2406</v>
      </c>
      <c r="J1857" s="207" t="s">
        <v>1607</v>
      </c>
      <c r="K1857" s="208">
        <f>5000*20%</f>
        <v>1000</v>
      </c>
      <c r="L1857" s="180"/>
      <c r="M1857" s="181"/>
    </row>
    <row r="1858" spans="1:13" x14ac:dyDescent="0.2">
      <c r="A1858" s="185"/>
      <c r="B1858" s="186"/>
      <c r="C1858" s="187"/>
      <c r="D1858" s="246"/>
      <c r="E1858" s="188"/>
      <c r="F1858" s="188"/>
      <c r="G1858" s="188"/>
      <c r="H1858" s="188"/>
      <c r="I1858" s="202"/>
      <c r="J1858" s="203"/>
      <c r="K1858" s="191">
        <f>SUM(K1854:K1857)</f>
        <v>5000</v>
      </c>
      <c r="L1858" s="192"/>
      <c r="M1858" s="193"/>
    </row>
    <row r="1859" spans="1:13" ht="24.75" customHeight="1" x14ac:dyDescent="0.2">
      <c r="A1859" s="163">
        <v>442</v>
      </c>
      <c r="B1859" s="164" t="s">
        <v>2407</v>
      </c>
      <c r="C1859" s="165"/>
      <c r="D1859" s="252" t="s">
        <v>107</v>
      </c>
      <c r="E1859" s="166"/>
      <c r="F1859" s="166"/>
      <c r="G1859" s="166"/>
      <c r="H1859" s="166"/>
      <c r="I1859" s="276" t="s">
        <v>2408</v>
      </c>
      <c r="J1859" s="249" t="s">
        <v>186</v>
      </c>
      <c r="K1859" s="213">
        <f>6500*60%</f>
        <v>3900</v>
      </c>
      <c r="L1859" s="171" t="s">
        <v>111</v>
      </c>
      <c r="M1859" s="171" t="s">
        <v>2409</v>
      </c>
    </row>
    <row r="1860" spans="1:13" x14ac:dyDescent="0.2">
      <c r="A1860" s="173"/>
      <c r="B1860" s="174"/>
      <c r="C1860" s="175"/>
      <c r="D1860" s="245"/>
      <c r="E1860" s="176"/>
      <c r="F1860" s="176"/>
      <c r="G1860" s="176"/>
      <c r="H1860" s="176"/>
      <c r="I1860" s="184" t="s">
        <v>2410</v>
      </c>
      <c r="J1860" s="207" t="s">
        <v>1607</v>
      </c>
      <c r="K1860" s="200">
        <f>6500*10%</f>
        <v>650</v>
      </c>
      <c r="L1860" s="181"/>
      <c r="M1860" s="181"/>
    </row>
    <row r="1861" spans="1:13" x14ac:dyDescent="0.2">
      <c r="A1861" s="173"/>
      <c r="B1861" s="174"/>
      <c r="C1861" s="175"/>
      <c r="D1861" s="245"/>
      <c r="E1861" s="176"/>
      <c r="F1861" s="176"/>
      <c r="G1861" s="176"/>
      <c r="H1861" s="176"/>
      <c r="I1861" s="184" t="s">
        <v>2361</v>
      </c>
      <c r="J1861" s="207" t="s">
        <v>1607</v>
      </c>
      <c r="K1861" s="200">
        <f t="shared" ref="K1861:K1863" si="43">6500*10%</f>
        <v>650</v>
      </c>
      <c r="L1861" s="181"/>
      <c r="M1861" s="181"/>
    </row>
    <row r="1862" spans="1:13" x14ac:dyDescent="0.2">
      <c r="A1862" s="173"/>
      <c r="B1862" s="174"/>
      <c r="C1862" s="175"/>
      <c r="D1862" s="245"/>
      <c r="E1862" s="176"/>
      <c r="F1862" s="176"/>
      <c r="G1862" s="176"/>
      <c r="H1862" s="176"/>
      <c r="I1862" s="184" t="s">
        <v>2411</v>
      </c>
      <c r="J1862" s="207" t="s">
        <v>1607</v>
      </c>
      <c r="K1862" s="200">
        <f t="shared" si="43"/>
        <v>650</v>
      </c>
      <c r="L1862" s="181"/>
      <c r="M1862" s="181"/>
    </row>
    <row r="1863" spans="1:13" x14ac:dyDescent="0.2">
      <c r="A1863" s="173"/>
      <c r="B1863" s="174"/>
      <c r="C1863" s="175"/>
      <c r="D1863" s="245"/>
      <c r="E1863" s="176"/>
      <c r="F1863" s="176"/>
      <c r="G1863" s="176"/>
      <c r="H1863" s="176"/>
      <c r="I1863" s="184" t="s">
        <v>2412</v>
      </c>
      <c r="J1863" s="207" t="s">
        <v>1607</v>
      </c>
      <c r="K1863" s="200">
        <f t="shared" si="43"/>
        <v>650</v>
      </c>
      <c r="L1863" s="181"/>
      <c r="M1863" s="181"/>
    </row>
    <row r="1864" spans="1:13" x14ac:dyDescent="0.2">
      <c r="A1864" s="185"/>
      <c r="B1864" s="186"/>
      <c r="C1864" s="187"/>
      <c r="D1864" s="246"/>
      <c r="E1864" s="188"/>
      <c r="F1864" s="188"/>
      <c r="G1864" s="188"/>
      <c r="H1864" s="188"/>
      <c r="I1864" s="202"/>
      <c r="J1864" s="203"/>
      <c r="K1864" s="211">
        <f>SUM(K1859:K1863)</f>
        <v>6500</v>
      </c>
      <c r="L1864" s="193"/>
      <c r="M1864" s="193"/>
    </row>
    <row r="1865" spans="1:13" ht="23.25" customHeight="1" x14ac:dyDescent="0.2">
      <c r="A1865" s="163">
        <v>443</v>
      </c>
      <c r="B1865" s="164" t="s">
        <v>2413</v>
      </c>
      <c r="C1865" s="165"/>
      <c r="D1865" s="252" t="s">
        <v>107</v>
      </c>
      <c r="E1865" s="166"/>
      <c r="F1865" s="166"/>
      <c r="G1865" s="166"/>
      <c r="H1865" s="166"/>
      <c r="I1865" s="276" t="s">
        <v>2414</v>
      </c>
      <c r="J1865" s="249" t="s">
        <v>186</v>
      </c>
      <c r="K1865" s="212">
        <f>5000*20%</f>
        <v>1000</v>
      </c>
      <c r="L1865" s="170" t="s">
        <v>111</v>
      </c>
      <c r="M1865" s="171" t="s">
        <v>2415</v>
      </c>
    </row>
    <row r="1866" spans="1:13" x14ac:dyDescent="0.2">
      <c r="A1866" s="173"/>
      <c r="B1866" s="174"/>
      <c r="C1866" s="175"/>
      <c r="D1866" s="245"/>
      <c r="E1866" s="176"/>
      <c r="F1866" s="176"/>
      <c r="G1866" s="176"/>
      <c r="H1866" s="176"/>
      <c r="I1866" s="184" t="s">
        <v>2411</v>
      </c>
      <c r="J1866" s="207" t="s">
        <v>1607</v>
      </c>
      <c r="K1866" s="230">
        <f>5000*10%</f>
        <v>500</v>
      </c>
      <c r="L1866" s="180"/>
      <c r="M1866" s="181"/>
    </row>
    <row r="1867" spans="1:13" x14ac:dyDescent="0.2">
      <c r="A1867" s="173"/>
      <c r="B1867" s="174"/>
      <c r="C1867" s="175"/>
      <c r="D1867" s="245"/>
      <c r="E1867" s="176"/>
      <c r="F1867" s="176"/>
      <c r="G1867" s="176"/>
      <c r="H1867" s="176"/>
      <c r="I1867" s="184" t="s">
        <v>2362</v>
      </c>
      <c r="J1867" s="207" t="s">
        <v>1607</v>
      </c>
      <c r="K1867" s="230">
        <f>5000*10%</f>
        <v>500</v>
      </c>
      <c r="L1867" s="180"/>
      <c r="M1867" s="181"/>
    </row>
    <row r="1868" spans="1:13" x14ac:dyDescent="0.2">
      <c r="A1868" s="173"/>
      <c r="B1868" s="174"/>
      <c r="C1868" s="175"/>
      <c r="D1868" s="245"/>
      <c r="E1868" s="176"/>
      <c r="F1868" s="176"/>
      <c r="G1868" s="176"/>
      <c r="H1868" s="176"/>
      <c r="I1868" s="184" t="s">
        <v>2416</v>
      </c>
      <c r="J1868" s="207" t="s">
        <v>1607</v>
      </c>
      <c r="K1868" s="230">
        <f>5000*60%</f>
        <v>3000</v>
      </c>
      <c r="L1868" s="180"/>
      <c r="M1868" s="181"/>
    </row>
    <row r="1869" spans="1:13" x14ac:dyDescent="0.2">
      <c r="A1869" s="185"/>
      <c r="B1869" s="186"/>
      <c r="C1869" s="187"/>
      <c r="D1869" s="246"/>
      <c r="E1869" s="188"/>
      <c r="F1869" s="188"/>
      <c r="G1869" s="188"/>
      <c r="H1869" s="188"/>
      <c r="I1869" s="202"/>
      <c r="J1869" s="203"/>
      <c r="K1869" s="216">
        <f>SUM(K1865:K1868)</f>
        <v>5000</v>
      </c>
      <c r="L1869" s="192"/>
      <c r="M1869" s="193"/>
    </row>
    <row r="1870" spans="1:13" ht="24.75" customHeight="1" x14ac:dyDescent="0.2">
      <c r="A1870" s="163">
        <v>444</v>
      </c>
      <c r="B1870" s="164" t="s">
        <v>2417</v>
      </c>
      <c r="C1870" s="165"/>
      <c r="D1870" s="252" t="s">
        <v>107</v>
      </c>
      <c r="E1870" s="166"/>
      <c r="F1870" s="166"/>
      <c r="G1870" s="166"/>
      <c r="H1870" s="166"/>
      <c r="I1870" s="276" t="s">
        <v>2418</v>
      </c>
      <c r="J1870" s="249" t="s">
        <v>186</v>
      </c>
      <c r="K1870" s="210">
        <f>5000*70%</f>
        <v>3500</v>
      </c>
      <c r="L1870" s="171" t="s">
        <v>111</v>
      </c>
      <c r="M1870" s="171" t="s">
        <v>2419</v>
      </c>
    </row>
    <row r="1871" spans="1:13" x14ac:dyDescent="0.2">
      <c r="A1871" s="173"/>
      <c r="B1871" s="174"/>
      <c r="C1871" s="175"/>
      <c r="D1871" s="245"/>
      <c r="E1871" s="176"/>
      <c r="F1871" s="176"/>
      <c r="G1871" s="176"/>
      <c r="H1871" s="176"/>
      <c r="I1871" s="184" t="s">
        <v>2420</v>
      </c>
      <c r="J1871" s="207" t="s">
        <v>1607</v>
      </c>
      <c r="K1871" s="214">
        <f>5000*30%</f>
        <v>1500</v>
      </c>
      <c r="L1871" s="181"/>
      <c r="M1871" s="181"/>
    </row>
    <row r="1872" spans="1:13" x14ac:dyDescent="0.2">
      <c r="A1872" s="185"/>
      <c r="B1872" s="186"/>
      <c r="C1872" s="187"/>
      <c r="D1872" s="246"/>
      <c r="E1872" s="188"/>
      <c r="F1872" s="188"/>
      <c r="G1872" s="188"/>
      <c r="H1872" s="188"/>
      <c r="I1872" s="202"/>
      <c r="J1872" s="203"/>
      <c r="K1872" s="247">
        <f>SUM(K1870:K1871)</f>
        <v>5000</v>
      </c>
      <c r="L1872" s="193"/>
      <c r="M1872" s="193"/>
    </row>
    <row r="1873" spans="1:54" ht="65.25" customHeight="1" x14ac:dyDescent="0.2">
      <c r="A1873" s="232">
        <v>445</v>
      </c>
      <c r="B1873" s="255" t="s">
        <v>2421</v>
      </c>
      <c r="C1873" s="256" t="s">
        <v>2421</v>
      </c>
      <c r="D1873" s="257" t="s">
        <v>107</v>
      </c>
      <c r="E1873" s="258"/>
      <c r="F1873" s="258"/>
      <c r="G1873" s="258"/>
      <c r="H1873" s="259"/>
      <c r="I1873" s="189" t="s">
        <v>2422</v>
      </c>
      <c r="J1873" s="215" t="s">
        <v>1607</v>
      </c>
      <c r="K1873" s="430">
        <v>35000</v>
      </c>
      <c r="L1873" s="261" t="s">
        <v>111</v>
      </c>
      <c r="M1873" s="189" t="s">
        <v>2423</v>
      </c>
    </row>
    <row r="1874" spans="1:54" ht="67.5" customHeight="1" x14ac:dyDescent="0.2">
      <c r="A1874" s="305">
        <v>446</v>
      </c>
      <c r="B1874" s="255" t="s">
        <v>2424</v>
      </c>
      <c r="C1874" s="256"/>
      <c r="D1874" s="262" t="s">
        <v>25</v>
      </c>
      <c r="E1874" s="336"/>
      <c r="F1874" s="336"/>
      <c r="G1874" s="336" t="s">
        <v>2425</v>
      </c>
      <c r="H1874" s="336" t="s">
        <v>1146</v>
      </c>
      <c r="I1874" s="282" t="s">
        <v>2426</v>
      </c>
      <c r="J1874" s="283" t="s">
        <v>1607</v>
      </c>
      <c r="K1874" s="473">
        <v>20000</v>
      </c>
      <c r="L1874" s="306" t="s">
        <v>2425</v>
      </c>
      <c r="M1874" s="167" t="s">
        <v>2427</v>
      </c>
    </row>
    <row r="1875" spans="1:54" ht="19.5" customHeight="1" x14ac:dyDescent="0.2">
      <c r="A1875" s="163">
        <v>447</v>
      </c>
      <c r="B1875" s="293" t="s">
        <v>2428</v>
      </c>
      <c r="C1875" s="294"/>
      <c r="D1875" s="166" t="s">
        <v>107</v>
      </c>
      <c r="E1875" s="166"/>
      <c r="F1875" s="166"/>
      <c r="G1875" s="166"/>
      <c r="H1875" s="166"/>
      <c r="I1875" s="276" t="s">
        <v>2429</v>
      </c>
      <c r="J1875" s="277" t="s">
        <v>1607</v>
      </c>
      <c r="K1875" s="268">
        <f>16000*50%</f>
        <v>8000</v>
      </c>
      <c r="L1875" s="171" t="s">
        <v>111</v>
      </c>
      <c r="M1875" s="171" t="s">
        <v>2430</v>
      </c>
    </row>
    <row r="1876" spans="1:54" x14ac:dyDescent="0.2">
      <c r="A1876" s="173"/>
      <c r="B1876" s="288"/>
      <c r="C1876" s="289"/>
      <c r="D1876" s="176"/>
      <c r="E1876" s="176"/>
      <c r="F1876" s="176"/>
      <c r="G1876" s="176"/>
      <c r="H1876" s="176"/>
      <c r="I1876" s="184" t="s">
        <v>2431</v>
      </c>
      <c r="J1876" s="272" t="s">
        <v>1607</v>
      </c>
      <c r="K1876" s="214">
        <f>16000*50%</f>
        <v>8000</v>
      </c>
      <c r="L1876" s="181"/>
      <c r="M1876" s="181"/>
    </row>
    <row r="1877" spans="1:54" x14ac:dyDescent="0.2">
      <c r="A1877" s="185"/>
      <c r="B1877" s="298"/>
      <c r="C1877" s="299"/>
      <c r="D1877" s="188"/>
      <c r="E1877" s="188"/>
      <c r="F1877" s="188"/>
      <c r="G1877" s="188"/>
      <c r="H1877" s="188"/>
      <c r="I1877" s="177"/>
      <c r="J1877" s="300"/>
      <c r="K1877" s="196">
        <f>SUM(K1875:K1876)</f>
        <v>16000</v>
      </c>
      <c r="L1877" s="193"/>
      <c r="M1877" s="193"/>
    </row>
    <row r="1878" spans="1:54" x14ac:dyDescent="0.2">
      <c r="A1878" s="163">
        <v>448</v>
      </c>
      <c r="B1878" s="293" t="s">
        <v>2432</v>
      </c>
      <c r="C1878" s="294"/>
      <c r="D1878" s="166" t="s">
        <v>107</v>
      </c>
      <c r="E1878" s="166"/>
      <c r="F1878" s="166"/>
      <c r="G1878" s="166"/>
      <c r="H1878" s="166"/>
      <c r="I1878" s="217" t="s">
        <v>2433</v>
      </c>
      <c r="J1878" s="267" t="s">
        <v>1607</v>
      </c>
      <c r="K1878" s="268">
        <f>10000*40%</f>
        <v>4000</v>
      </c>
      <c r="L1878" s="171" t="s">
        <v>111</v>
      </c>
      <c r="M1878" s="171" t="s">
        <v>1327</v>
      </c>
    </row>
    <row r="1879" spans="1:54" x14ac:dyDescent="0.2">
      <c r="A1879" s="173"/>
      <c r="B1879" s="288"/>
      <c r="C1879" s="289"/>
      <c r="D1879" s="176"/>
      <c r="E1879" s="176"/>
      <c r="F1879" s="176"/>
      <c r="G1879" s="176"/>
      <c r="H1879" s="176"/>
      <c r="I1879" s="184" t="s">
        <v>2434</v>
      </c>
      <c r="J1879" s="272" t="s">
        <v>1607</v>
      </c>
      <c r="K1879" s="214">
        <f>10000*30%</f>
        <v>3000</v>
      </c>
      <c r="L1879" s="181"/>
      <c r="M1879" s="181"/>
    </row>
    <row r="1880" spans="1:54" x14ac:dyDescent="0.2">
      <c r="A1880" s="173"/>
      <c r="B1880" s="288"/>
      <c r="C1880" s="289"/>
      <c r="D1880" s="176"/>
      <c r="E1880" s="176"/>
      <c r="F1880" s="176"/>
      <c r="G1880" s="176"/>
      <c r="H1880" s="176"/>
      <c r="I1880" s="184" t="s">
        <v>2435</v>
      </c>
      <c r="J1880" s="272" t="s">
        <v>1607</v>
      </c>
      <c r="K1880" s="214">
        <f>10000*30%</f>
        <v>3000</v>
      </c>
      <c r="L1880" s="181"/>
      <c r="M1880" s="181"/>
    </row>
    <row r="1881" spans="1:54" x14ac:dyDescent="0.2">
      <c r="A1881" s="185"/>
      <c r="B1881" s="298"/>
      <c r="C1881" s="299"/>
      <c r="D1881" s="188"/>
      <c r="E1881" s="188"/>
      <c r="F1881" s="188"/>
      <c r="G1881" s="188"/>
      <c r="H1881" s="188"/>
      <c r="I1881" s="202"/>
      <c r="J1881" s="275"/>
      <c r="K1881" s="247">
        <f>SUM(K1878:K1880)</f>
        <v>10000</v>
      </c>
      <c r="L1881" s="193"/>
      <c r="M1881" s="193"/>
    </row>
    <row r="1882" spans="1:54" s="269" customFormat="1" ht="65.25" customHeight="1" x14ac:dyDescent="0.2">
      <c r="A1882" s="329">
        <v>449</v>
      </c>
      <c r="B1882" s="310" t="s">
        <v>2436</v>
      </c>
      <c r="C1882" s="311" t="s">
        <v>2436</v>
      </c>
      <c r="D1882" s="308" t="s">
        <v>107</v>
      </c>
      <c r="E1882" s="308"/>
      <c r="F1882" s="308"/>
      <c r="G1882" s="308"/>
      <c r="H1882" s="417"/>
      <c r="I1882" s="217" t="s">
        <v>2437</v>
      </c>
      <c r="J1882" s="267" t="s">
        <v>1607</v>
      </c>
      <c r="K1882" s="284">
        <v>20000</v>
      </c>
      <c r="L1882" s="306" t="s">
        <v>111</v>
      </c>
      <c r="M1882" s="261" t="s">
        <v>2438</v>
      </c>
      <c r="N1882" s="132"/>
      <c r="O1882" s="132"/>
      <c r="P1882" s="132"/>
      <c r="Q1882" s="132"/>
      <c r="R1882" s="132"/>
      <c r="S1882" s="132"/>
      <c r="T1882" s="132"/>
      <c r="U1882" s="132"/>
      <c r="V1882" s="132"/>
      <c r="W1882" s="132"/>
      <c r="X1882" s="132"/>
      <c r="Y1882" s="132"/>
      <c r="Z1882" s="132"/>
      <c r="AA1882" s="132"/>
      <c r="AB1882" s="132"/>
      <c r="AC1882" s="132"/>
      <c r="AD1882" s="132"/>
      <c r="AE1882" s="132"/>
      <c r="AF1882" s="132"/>
      <c r="AG1882" s="132"/>
      <c r="AH1882" s="132"/>
      <c r="AI1882" s="132"/>
      <c r="AJ1882" s="132"/>
      <c r="AK1882" s="132"/>
      <c r="AL1882" s="132"/>
      <c r="AM1882" s="132"/>
      <c r="AN1882" s="132"/>
      <c r="AO1882" s="132"/>
      <c r="AP1882" s="132"/>
      <c r="AQ1882" s="132"/>
      <c r="AR1882" s="132"/>
      <c r="AS1882" s="132"/>
      <c r="AT1882" s="132"/>
      <c r="AU1882" s="132"/>
      <c r="AV1882" s="132"/>
      <c r="AW1882" s="132"/>
      <c r="AX1882" s="132"/>
      <c r="AY1882" s="132"/>
      <c r="AZ1882" s="132"/>
      <c r="BA1882" s="132"/>
      <c r="BB1882" s="132"/>
    </row>
    <row r="1883" spans="1:54" s="269" customFormat="1" ht="26.25" customHeight="1" x14ac:dyDescent="0.2">
      <c r="A1883" s="163">
        <v>450</v>
      </c>
      <c r="B1883" s="164" t="s">
        <v>2439</v>
      </c>
      <c r="C1883" s="165"/>
      <c r="D1883" s="166" t="s">
        <v>107</v>
      </c>
      <c r="E1883" s="166"/>
      <c r="F1883" s="166"/>
      <c r="G1883" s="166"/>
      <c r="H1883" s="248" t="s">
        <v>164</v>
      </c>
      <c r="I1883" s="217" t="s">
        <v>2440</v>
      </c>
      <c r="J1883" s="353" t="s">
        <v>186</v>
      </c>
      <c r="K1883" s="268">
        <f>6500*75%</f>
        <v>4875</v>
      </c>
      <c r="L1883" s="171" t="s">
        <v>111</v>
      </c>
      <c r="M1883" s="171" t="s">
        <v>2441</v>
      </c>
      <c r="N1883" s="132"/>
      <c r="O1883" s="132"/>
      <c r="P1883" s="132"/>
      <c r="Q1883" s="132"/>
      <c r="R1883" s="132"/>
      <c r="S1883" s="132"/>
      <c r="T1883" s="132"/>
      <c r="U1883" s="132"/>
      <c r="V1883" s="132"/>
      <c r="W1883" s="132"/>
      <c r="X1883" s="132"/>
      <c r="Y1883" s="132"/>
      <c r="Z1883" s="132"/>
      <c r="AA1883" s="132"/>
      <c r="AB1883" s="132"/>
      <c r="AC1883" s="132"/>
      <c r="AD1883" s="132"/>
      <c r="AE1883" s="132"/>
      <c r="AF1883" s="132"/>
      <c r="AG1883" s="132"/>
      <c r="AH1883" s="132"/>
      <c r="AI1883" s="132"/>
      <c r="AJ1883" s="132"/>
      <c r="AK1883" s="132"/>
      <c r="AL1883" s="132"/>
      <c r="AM1883" s="132"/>
      <c r="AN1883" s="132"/>
      <c r="AO1883" s="132"/>
      <c r="AP1883" s="132"/>
      <c r="AQ1883" s="132"/>
      <c r="AR1883" s="132"/>
      <c r="AS1883" s="132"/>
      <c r="AT1883" s="132"/>
      <c r="AU1883" s="132"/>
      <c r="AV1883" s="132"/>
      <c r="AW1883" s="132"/>
      <c r="AX1883" s="132"/>
      <c r="AY1883" s="132"/>
      <c r="AZ1883" s="132"/>
      <c r="BA1883" s="132"/>
      <c r="BB1883" s="132"/>
    </row>
    <row r="1884" spans="1:54" s="269" customFormat="1" ht="26.25" customHeight="1" x14ac:dyDescent="0.2">
      <c r="A1884" s="173"/>
      <c r="B1884" s="174"/>
      <c r="C1884" s="175"/>
      <c r="D1884" s="176"/>
      <c r="E1884" s="176"/>
      <c r="F1884" s="176"/>
      <c r="G1884" s="176"/>
      <c r="H1884" s="250"/>
      <c r="I1884" s="184" t="s">
        <v>2442</v>
      </c>
      <c r="J1884" s="226" t="s">
        <v>1434</v>
      </c>
      <c r="K1884" s="382">
        <f>6500*25%</f>
        <v>1625</v>
      </c>
      <c r="L1884" s="181"/>
      <c r="M1884" s="181"/>
      <c r="N1884" s="132"/>
      <c r="O1884" s="132"/>
      <c r="P1884" s="132"/>
      <c r="Q1884" s="132"/>
      <c r="R1884" s="132"/>
      <c r="S1884" s="132"/>
      <c r="T1884" s="132"/>
      <c r="U1884" s="132"/>
      <c r="V1884" s="132"/>
      <c r="W1884" s="132"/>
      <c r="X1884" s="132"/>
      <c r="Y1884" s="132"/>
      <c r="Z1884" s="132"/>
      <c r="AA1884" s="132"/>
      <c r="AB1884" s="132"/>
      <c r="AC1884" s="132"/>
      <c r="AD1884" s="132"/>
      <c r="AE1884" s="132"/>
      <c r="AF1884" s="132"/>
      <c r="AG1884" s="132"/>
      <c r="AH1884" s="132"/>
      <c r="AI1884" s="132"/>
      <c r="AJ1884" s="132"/>
      <c r="AK1884" s="132"/>
      <c r="AL1884" s="132"/>
      <c r="AM1884" s="132"/>
      <c r="AN1884" s="132"/>
      <c r="AO1884" s="132"/>
      <c r="AP1884" s="132"/>
      <c r="AQ1884" s="132"/>
      <c r="AR1884" s="132"/>
      <c r="AS1884" s="132"/>
      <c r="AT1884" s="132"/>
      <c r="AU1884" s="132"/>
      <c r="AV1884" s="132"/>
      <c r="AW1884" s="132"/>
      <c r="AX1884" s="132"/>
      <c r="AY1884" s="132"/>
      <c r="AZ1884" s="132"/>
      <c r="BA1884" s="132"/>
      <c r="BB1884" s="132"/>
    </row>
    <row r="1885" spans="1:54" s="269" customFormat="1" ht="26.25" customHeight="1" x14ac:dyDescent="0.2">
      <c r="A1885" s="185"/>
      <c r="B1885" s="186"/>
      <c r="C1885" s="187"/>
      <c r="D1885" s="188"/>
      <c r="E1885" s="188"/>
      <c r="F1885" s="188"/>
      <c r="G1885" s="188"/>
      <c r="H1885" s="251"/>
      <c r="I1885" s="189"/>
      <c r="J1885" s="203"/>
      <c r="K1885" s="247">
        <f>SUM(K1883:K1884)</f>
        <v>6500</v>
      </c>
      <c r="L1885" s="193"/>
      <c r="M1885" s="193"/>
      <c r="N1885" s="132"/>
      <c r="O1885" s="132"/>
      <c r="P1885" s="132"/>
      <c r="Q1885" s="132"/>
      <c r="R1885" s="132"/>
      <c r="S1885" s="132"/>
      <c r="T1885" s="132"/>
      <c r="U1885" s="132"/>
      <c r="V1885" s="132"/>
      <c r="W1885" s="132"/>
      <c r="X1885" s="132"/>
      <c r="Y1885" s="132"/>
      <c r="Z1885" s="132"/>
      <c r="AA1885" s="132"/>
      <c r="AB1885" s="132"/>
      <c r="AC1885" s="132"/>
      <c r="AD1885" s="132"/>
      <c r="AE1885" s="132"/>
      <c r="AF1885" s="132"/>
      <c r="AG1885" s="132"/>
      <c r="AH1885" s="132"/>
      <c r="AI1885" s="132"/>
      <c r="AJ1885" s="132"/>
      <c r="AK1885" s="132"/>
      <c r="AL1885" s="132"/>
      <c r="AM1885" s="132"/>
      <c r="AN1885" s="132"/>
      <c r="AO1885" s="132"/>
      <c r="AP1885" s="132"/>
      <c r="AQ1885" s="132"/>
      <c r="AR1885" s="132"/>
      <c r="AS1885" s="132"/>
      <c r="AT1885" s="132"/>
      <c r="AU1885" s="132"/>
      <c r="AV1885" s="132"/>
      <c r="AW1885" s="132"/>
      <c r="AX1885" s="132"/>
      <c r="AY1885" s="132"/>
      <c r="AZ1885" s="132"/>
      <c r="BA1885" s="132"/>
      <c r="BB1885" s="132"/>
    </row>
    <row r="1886" spans="1:54" s="269" customFormat="1" ht="24.75" customHeight="1" x14ac:dyDescent="0.2">
      <c r="A1886" s="163">
        <v>451</v>
      </c>
      <c r="B1886" s="164" t="s">
        <v>2443</v>
      </c>
      <c r="C1886" s="165"/>
      <c r="D1886" s="166" t="s">
        <v>107</v>
      </c>
      <c r="E1886" s="166"/>
      <c r="F1886" s="166"/>
      <c r="G1886" s="166"/>
      <c r="H1886" s="248" t="s">
        <v>164</v>
      </c>
      <c r="I1886" s="261" t="s">
        <v>2440</v>
      </c>
      <c r="J1886" s="223" t="s">
        <v>186</v>
      </c>
      <c r="K1886" s="375">
        <f>5000*75%</f>
        <v>3750</v>
      </c>
      <c r="L1886" s="171" t="s">
        <v>111</v>
      </c>
      <c r="M1886" s="171" t="s">
        <v>2444</v>
      </c>
      <c r="N1886" s="132"/>
      <c r="O1886" s="132"/>
      <c r="P1886" s="132"/>
      <c r="Q1886" s="132"/>
      <c r="R1886" s="132"/>
      <c r="S1886" s="132"/>
      <c r="T1886" s="132"/>
      <c r="U1886" s="132"/>
      <c r="V1886" s="132"/>
      <c r="W1886" s="132"/>
      <c r="X1886" s="132"/>
      <c r="Y1886" s="132"/>
      <c r="Z1886" s="132"/>
      <c r="AA1886" s="132"/>
      <c r="AB1886" s="132"/>
      <c r="AC1886" s="132"/>
      <c r="AD1886" s="132"/>
      <c r="AE1886" s="132"/>
      <c r="AF1886" s="132"/>
      <c r="AG1886" s="132"/>
      <c r="AH1886" s="132"/>
      <c r="AI1886" s="132"/>
      <c r="AJ1886" s="132"/>
      <c r="AK1886" s="132"/>
      <c r="AL1886" s="132"/>
      <c r="AM1886" s="132"/>
      <c r="AN1886" s="132"/>
      <c r="AO1886" s="132"/>
      <c r="AP1886" s="132"/>
      <c r="AQ1886" s="132"/>
      <c r="AR1886" s="132"/>
      <c r="AS1886" s="132"/>
      <c r="AT1886" s="132"/>
      <c r="AU1886" s="132"/>
      <c r="AV1886" s="132"/>
      <c r="AW1886" s="132"/>
      <c r="AX1886" s="132"/>
      <c r="AY1886" s="132"/>
      <c r="AZ1886" s="132"/>
      <c r="BA1886" s="132"/>
      <c r="BB1886" s="132"/>
    </row>
    <row r="1887" spans="1:54" s="269" customFormat="1" ht="26.25" customHeight="1" x14ac:dyDescent="0.2">
      <c r="A1887" s="173"/>
      <c r="B1887" s="174"/>
      <c r="C1887" s="175"/>
      <c r="D1887" s="176"/>
      <c r="E1887" s="176"/>
      <c r="F1887" s="176"/>
      <c r="G1887" s="176"/>
      <c r="H1887" s="250"/>
      <c r="I1887" s="177" t="s">
        <v>2442</v>
      </c>
      <c r="J1887" s="168" t="s">
        <v>1434</v>
      </c>
      <c r="K1887" s="196">
        <f>5000*25%</f>
        <v>1250</v>
      </c>
      <c r="L1887" s="181"/>
      <c r="M1887" s="181"/>
      <c r="N1887" s="132"/>
      <c r="O1887" s="132"/>
      <c r="P1887" s="132"/>
      <c r="Q1887" s="132"/>
      <c r="R1887" s="132"/>
      <c r="S1887" s="132"/>
      <c r="T1887" s="132"/>
      <c r="U1887" s="132"/>
      <c r="V1887" s="132"/>
      <c r="W1887" s="132"/>
      <c r="X1887" s="132"/>
      <c r="Y1887" s="132"/>
      <c r="Z1887" s="132"/>
      <c r="AA1887" s="132"/>
      <c r="AB1887" s="132"/>
      <c r="AC1887" s="132"/>
      <c r="AD1887" s="132"/>
      <c r="AE1887" s="132"/>
      <c r="AF1887" s="132"/>
      <c r="AG1887" s="132"/>
      <c r="AH1887" s="132"/>
      <c r="AI1887" s="132"/>
      <c r="AJ1887" s="132"/>
      <c r="AK1887" s="132"/>
      <c r="AL1887" s="132"/>
      <c r="AM1887" s="132"/>
      <c r="AN1887" s="132"/>
      <c r="AO1887" s="132"/>
      <c r="AP1887" s="132"/>
      <c r="AQ1887" s="132"/>
      <c r="AR1887" s="132"/>
      <c r="AS1887" s="132"/>
      <c r="AT1887" s="132"/>
      <c r="AU1887" s="132"/>
      <c r="AV1887" s="132"/>
      <c r="AW1887" s="132"/>
      <c r="AX1887" s="132"/>
      <c r="AY1887" s="132"/>
      <c r="AZ1887" s="132"/>
      <c r="BA1887" s="132"/>
      <c r="BB1887" s="132"/>
    </row>
    <row r="1888" spans="1:54" s="269" customFormat="1" x14ac:dyDescent="0.2">
      <c r="A1888" s="185"/>
      <c r="B1888" s="186"/>
      <c r="C1888" s="187"/>
      <c r="D1888" s="188"/>
      <c r="E1888" s="188"/>
      <c r="F1888" s="188"/>
      <c r="G1888" s="188"/>
      <c r="H1888" s="251"/>
      <c r="I1888" s="202"/>
      <c r="J1888" s="203"/>
      <c r="K1888" s="247">
        <f>SUM(K1886:K1887)</f>
        <v>5000</v>
      </c>
      <c r="L1888" s="193"/>
      <c r="M1888" s="193"/>
      <c r="N1888" s="132"/>
      <c r="O1888" s="132"/>
      <c r="P1888" s="132"/>
      <c r="Q1888" s="132"/>
      <c r="R1888" s="132"/>
      <c r="S1888" s="132"/>
      <c r="T1888" s="132"/>
      <c r="U1888" s="132"/>
      <c r="V1888" s="132"/>
      <c r="W1888" s="132"/>
      <c r="X1888" s="132"/>
      <c r="Y1888" s="132"/>
      <c r="Z1888" s="132"/>
      <c r="AA1888" s="132"/>
      <c r="AB1888" s="132"/>
      <c r="AC1888" s="132"/>
      <c r="AD1888" s="132"/>
      <c r="AE1888" s="132"/>
      <c r="AF1888" s="132"/>
      <c r="AG1888" s="132"/>
      <c r="AH1888" s="132"/>
      <c r="AI1888" s="132"/>
      <c r="AJ1888" s="132"/>
      <c r="AK1888" s="132"/>
      <c r="AL1888" s="132"/>
      <c r="AM1888" s="132"/>
      <c r="AN1888" s="132"/>
      <c r="AO1888" s="132"/>
      <c r="AP1888" s="132"/>
      <c r="AQ1888" s="132"/>
      <c r="AR1888" s="132"/>
      <c r="AS1888" s="132"/>
      <c r="AT1888" s="132"/>
      <c r="AU1888" s="132"/>
      <c r="AV1888" s="132"/>
      <c r="AW1888" s="132"/>
      <c r="AX1888" s="132"/>
      <c r="AY1888" s="132"/>
      <c r="AZ1888" s="132"/>
      <c r="BA1888" s="132"/>
      <c r="BB1888" s="132"/>
    </row>
    <row r="1889" spans="1:13" x14ac:dyDescent="0.2">
      <c r="A1889" s="163">
        <v>452</v>
      </c>
      <c r="B1889" s="164" t="s">
        <v>2445</v>
      </c>
      <c r="C1889" s="165"/>
      <c r="D1889" s="166" t="s">
        <v>107</v>
      </c>
      <c r="E1889" s="166"/>
      <c r="F1889" s="166"/>
      <c r="G1889" s="166"/>
      <c r="H1889" s="248" t="s">
        <v>137</v>
      </c>
      <c r="I1889" s="217" t="s">
        <v>2446</v>
      </c>
      <c r="J1889" s="267" t="s">
        <v>681</v>
      </c>
      <c r="K1889" s="268">
        <f>7700*50%</f>
        <v>3850</v>
      </c>
      <c r="L1889" s="195" t="s">
        <v>111</v>
      </c>
      <c r="M1889" s="171" t="s">
        <v>2447</v>
      </c>
    </row>
    <row r="1890" spans="1:13" x14ac:dyDescent="0.2">
      <c r="A1890" s="173"/>
      <c r="B1890" s="174"/>
      <c r="C1890" s="175"/>
      <c r="D1890" s="176"/>
      <c r="E1890" s="176"/>
      <c r="F1890" s="176"/>
      <c r="G1890" s="176"/>
      <c r="H1890" s="250"/>
      <c r="I1890" s="184" t="s">
        <v>2448</v>
      </c>
      <c r="J1890" s="272" t="s">
        <v>681</v>
      </c>
      <c r="K1890" s="214">
        <f>7700*25%</f>
        <v>1925</v>
      </c>
      <c r="L1890" s="197"/>
      <c r="M1890" s="181"/>
    </row>
    <row r="1891" spans="1:13" x14ac:dyDescent="0.2">
      <c r="A1891" s="173"/>
      <c r="B1891" s="174"/>
      <c r="C1891" s="175"/>
      <c r="D1891" s="176"/>
      <c r="E1891" s="176"/>
      <c r="F1891" s="176"/>
      <c r="G1891" s="176"/>
      <c r="H1891" s="250"/>
      <c r="I1891" s="184" t="s">
        <v>2449</v>
      </c>
      <c r="J1891" s="272" t="s">
        <v>681</v>
      </c>
      <c r="K1891" s="214">
        <f>7700*25%</f>
        <v>1925</v>
      </c>
      <c r="L1891" s="197"/>
      <c r="M1891" s="181"/>
    </row>
    <row r="1892" spans="1:13" x14ac:dyDescent="0.2">
      <c r="A1892" s="185"/>
      <c r="B1892" s="186"/>
      <c r="C1892" s="187"/>
      <c r="D1892" s="188"/>
      <c r="E1892" s="188"/>
      <c r="F1892" s="188"/>
      <c r="G1892" s="188"/>
      <c r="H1892" s="251"/>
      <c r="I1892" s="202"/>
      <c r="J1892" s="275"/>
      <c r="K1892" s="247">
        <f>SUM(K1889:K1891)</f>
        <v>7700</v>
      </c>
      <c r="L1892" s="205"/>
      <c r="M1892" s="193"/>
    </row>
    <row r="1893" spans="1:13" x14ac:dyDescent="0.2">
      <c r="A1893" s="163">
        <v>453</v>
      </c>
      <c r="B1893" s="164" t="s">
        <v>2450</v>
      </c>
      <c r="C1893" s="165"/>
      <c r="D1893" s="166" t="s">
        <v>107</v>
      </c>
      <c r="E1893" s="166"/>
      <c r="F1893" s="166"/>
      <c r="G1893" s="166"/>
      <c r="H1893" s="248" t="s">
        <v>137</v>
      </c>
      <c r="I1893" s="217" t="s">
        <v>2451</v>
      </c>
      <c r="J1893" s="267" t="s">
        <v>681</v>
      </c>
      <c r="K1893" s="268">
        <f>7700*70%</f>
        <v>5390</v>
      </c>
      <c r="L1893" s="195" t="s">
        <v>111</v>
      </c>
      <c r="M1893" s="171" t="s">
        <v>2452</v>
      </c>
    </row>
    <row r="1894" spans="1:13" x14ac:dyDescent="0.2">
      <c r="A1894" s="173"/>
      <c r="B1894" s="174"/>
      <c r="C1894" s="175"/>
      <c r="D1894" s="176"/>
      <c r="E1894" s="176"/>
      <c r="F1894" s="176"/>
      <c r="G1894" s="176"/>
      <c r="H1894" s="250"/>
      <c r="I1894" s="184" t="s">
        <v>2453</v>
      </c>
      <c r="J1894" s="272" t="s">
        <v>681</v>
      </c>
      <c r="K1894" s="214">
        <f>7700*20%</f>
        <v>1540</v>
      </c>
      <c r="L1894" s="197"/>
      <c r="M1894" s="181"/>
    </row>
    <row r="1895" spans="1:13" x14ac:dyDescent="0.2">
      <c r="A1895" s="173"/>
      <c r="B1895" s="174"/>
      <c r="C1895" s="175"/>
      <c r="D1895" s="176"/>
      <c r="E1895" s="176"/>
      <c r="F1895" s="176"/>
      <c r="G1895" s="176"/>
      <c r="H1895" s="250"/>
      <c r="I1895" s="184" t="s">
        <v>2454</v>
      </c>
      <c r="J1895" s="272" t="s">
        <v>681</v>
      </c>
      <c r="K1895" s="214">
        <f>7700*10%</f>
        <v>770</v>
      </c>
      <c r="L1895" s="197"/>
      <c r="M1895" s="181"/>
    </row>
    <row r="1896" spans="1:13" x14ac:dyDescent="0.2">
      <c r="A1896" s="185"/>
      <c r="B1896" s="186"/>
      <c r="C1896" s="187"/>
      <c r="D1896" s="188"/>
      <c r="E1896" s="188"/>
      <c r="F1896" s="188"/>
      <c r="G1896" s="188"/>
      <c r="H1896" s="251"/>
      <c r="I1896" s="202"/>
      <c r="J1896" s="275"/>
      <c r="K1896" s="247">
        <f>SUM(K1893:K1895)</f>
        <v>7700</v>
      </c>
      <c r="L1896" s="205"/>
      <c r="M1896" s="193"/>
    </row>
    <row r="1897" spans="1:13" x14ac:dyDescent="0.2">
      <c r="A1897" s="163">
        <v>454</v>
      </c>
      <c r="B1897" s="164" t="s">
        <v>2455</v>
      </c>
      <c r="C1897" s="165"/>
      <c r="D1897" s="166" t="s">
        <v>107</v>
      </c>
      <c r="E1897" s="166"/>
      <c r="F1897" s="166"/>
      <c r="G1897" s="166"/>
      <c r="H1897" s="248"/>
      <c r="I1897" s="276" t="s">
        <v>2456</v>
      </c>
      <c r="J1897" s="277" t="s">
        <v>681</v>
      </c>
      <c r="K1897" s="278">
        <f>6300*50%</f>
        <v>3150</v>
      </c>
      <c r="L1897" s="195" t="s">
        <v>111</v>
      </c>
      <c r="M1897" s="171" t="s">
        <v>2457</v>
      </c>
    </row>
    <row r="1898" spans="1:13" x14ac:dyDescent="0.2">
      <c r="A1898" s="173"/>
      <c r="B1898" s="174"/>
      <c r="C1898" s="175"/>
      <c r="D1898" s="176"/>
      <c r="E1898" s="176"/>
      <c r="F1898" s="176"/>
      <c r="G1898" s="176"/>
      <c r="H1898" s="250"/>
      <c r="I1898" s="184" t="s">
        <v>2458</v>
      </c>
      <c r="J1898" s="272" t="s">
        <v>681</v>
      </c>
      <c r="K1898" s="214">
        <f>6300*25%</f>
        <v>1575</v>
      </c>
      <c r="L1898" s="197"/>
      <c r="M1898" s="181"/>
    </row>
    <row r="1899" spans="1:13" x14ac:dyDescent="0.2">
      <c r="A1899" s="173"/>
      <c r="B1899" s="174"/>
      <c r="C1899" s="175"/>
      <c r="D1899" s="176"/>
      <c r="E1899" s="176"/>
      <c r="F1899" s="176"/>
      <c r="G1899" s="176"/>
      <c r="H1899" s="250"/>
      <c r="I1899" s="184" t="s">
        <v>2459</v>
      </c>
      <c r="J1899" s="272" t="s">
        <v>771</v>
      </c>
      <c r="K1899" s="214">
        <f>6300*25%</f>
        <v>1575</v>
      </c>
      <c r="L1899" s="197"/>
      <c r="M1899" s="181"/>
    </row>
    <row r="1900" spans="1:13" x14ac:dyDescent="0.2">
      <c r="A1900" s="185"/>
      <c r="B1900" s="186"/>
      <c r="C1900" s="187"/>
      <c r="D1900" s="188"/>
      <c r="E1900" s="188"/>
      <c r="F1900" s="188"/>
      <c r="G1900" s="188"/>
      <c r="H1900" s="251"/>
      <c r="I1900" s="177"/>
      <c r="J1900" s="300"/>
      <c r="K1900" s="196">
        <f>SUM(K1897:K1899)</f>
        <v>6300</v>
      </c>
      <c r="L1900" s="205"/>
      <c r="M1900" s="193"/>
    </row>
    <row r="1901" spans="1:13" x14ac:dyDescent="0.2">
      <c r="A1901" s="163">
        <v>455</v>
      </c>
      <c r="B1901" s="164" t="s">
        <v>2460</v>
      </c>
      <c r="C1901" s="165"/>
      <c r="D1901" s="166" t="s">
        <v>107</v>
      </c>
      <c r="E1901" s="166"/>
      <c r="F1901" s="166"/>
      <c r="G1901" s="166"/>
      <c r="H1901" s="248"/>
      <c r="I1901" s="217" t="s">
        <v>2461</v>
      </c>
      <c r="J1901" s="267" t="s">
        <v>681</v>
      </c>
      <c r="K1901" s="268">
        <f>7700*40%</f>
        <v>3080</v>
      </c>
      <c r="L1901" s="195" t="s">
        <v>111</v>
      </c>
      <c r="M1901" s="171" t="s">
        <v>2462</v>
      </c>
    </row>
    <row r="1902" spans="1:13" x14ac:dyDescent="0.2">
      <c r="A1902" s="173"/>
      <c r="B1902" s="174"/>
      <c r="C1902" s="175"/>
      <c r="D1902" s="176"/>
      <c r="E1902" s="176"/>
      <c r="F1902" s="176"/>
      <c r="G1902" s="176"/>
      <c r="H1902" s="250"/>
      <c r="I1902" s="184" t="s">
        <v>2463</v>
      </c>
      <c r="J1902" s="272" t="s">
        <v>681</v>
      </c>
      <c r="K1902" s="214">
        <f>7700*30%</f>
        <v>2310</v>
      </c>
      <c r="L1902" s="197"/>
      <c r="M1902" s="181"/>
    </row>
    <row r="1903" spans="1:13" x14ac:dyDescent="0.2">
      <c r="A1903" s="173"/>
      <c r="B1903" s="174"/>
      <c r="C1903" s="175"/>
      <c r="D1903" s="176"/>
      <c r="E1903" s="176"/>
      <c r="F1903" s="176"/>
      <c r="G1903" s="176"/>
      <c r="H1903" s="250"/>
      <c r="I1903" s="184" t="s">
        <v>2464</v>
      </c>
      <c r="J1903" s="272" t="s">
        <v>681</v>
      </c>
      <c r="K1903" s="214">
        <f>7700*30%</f>
        <v>2310</v>
      </c>
      <c r="L1903" s="197"/>
      <c r="M1903" s="181"/>
    </row>
    <row r="1904" spans="1:13" x14ac:dyDescent="0.2">
      <c r="A1904" s="185"/>
      <c r="B1904" s="186"/>
      <c r="C1904" s="187"/>
      <c r="D1904" s="188"/>
      <c r="E1904" s="188"/>
      <c r="F1904" s="188"/>
      <c r="G1904" s="188"/>
      <c r="H1904" s="251"/>
      <c r="I1904" s="202"/>
      <c r="J1904" s="275"/>
      <c r="K1904" s="247">
        <f>SUM(K1901:K1903)</f>
        <v>7700</v>
      </c>
      <c r="L1904" s="205"/>
      <c r="M1904" s="193"/>
    </row>
    <row r="1905" spans="1:13" x14ac:dyDescent="0.2">
      <c r="A1905" s="163">
        <v>456</v>
      </c>
      <c r="B1905" s="164" t="s">
        <v>2465</v>
      </c>
      <c r="C1905" s="165"/>
      <c r="D1905" s="166" t="s">
        <v>107</v>
      </c>
      <c r="E1905" s="166"/>
      <c r="F1905" s="166"/>
      <c r="G1905" s="166"/>
      <c r="H1905" s="248"/>
      <c r="I1905" s="276" t="s">
        <v>2466</v>
      </c>
      <c r="J1905" s="277" t="s">
        <v>681</v>
      </c>
      <c r="K1905" s="278">
        <f>7700*60%</f>
        <v>4620</v>
      </c>
      <c r="L1905" s="195" t="s">
        <v>111</v>
      </c>
      <c r="M1905" s="171" t="s">
        <v>2467</v>
      </c>
    </row>
    <row r="1906" spans="1:13" x14ac:dyDescent="0.2">
      <c r="A1906" s="173"/>
      <c r="B1906" s="174"/>
      <c r="C1906" s="175"/>
      <c r="D1906" s="176"/>
      <c r="E1906" s="176"/>
      <c r="F1906" s="176"/>
      <c r="G1906" s="176"/>
      <c r="H1906" s="250"/>
      <c r="I1906" s="184" t="s">
        <v>2468</v>
      </c>
      <c r="J1906" s="272" t="s">
        <v>681</v>
      </c>
      <c r="K1906" s="214">
        <f>7700*20%</f>
        <v>1540</v>
      </c>
      <c r="L1906" s="197"/>
      <c r="M1906" s="181"/>
    </row>
    <row r="1907" spans="1:13" x14ac:dyDescent="0.2">
      <c r="A1907" s="173"/>
      <c r="B1907" s="174"/>
      <c r="C1907" s="175"/>
      <c r="D1907" s="176"/>
      <c r="E1907" s="176"/>
      <c r="F1907" s="176"/>
      <c r="G1907" s="176"/>
      <c r="H1907" s="250"/>
      <c r="I1907" s="184" t="s">
        <v>2469</v>
      </c>
      <c r="J1907" s="272" t="s">
        <v>681</v>
      </c>
      <c r="K1907" s="214">
        <f>7700*20%</f>
        <v>1540</v>
      </c>
      <c r="L1907" s="197"/>
      <c r="M1907" s="181"/>
    </row>
    <row r="1908" spans="1:13" x14ac:dyDescent="0.2">
      <c r="A1908" s="185"/>
      <c r="B1908" s="186"/>
      <c r="C1908" s="187"/>
      <c r="D1908" s="188"/>
      <c r="E1908" s="188"/>
      <c r="F1908" s="188"/>
      <c r="G1908" s="188"/>
      <c r="H1908" s="251"/>
      <c r="I1908" s="177"/>
      <c r="J1908" s="300"/>
      <c r="K1908" s="196">
        <f>SUM(K1905:K1907)</f>
        <v>7700</v>
      </c>
      <c r="L1908" s="205"/>
      <c r="M1908" s="193"/>
    </row>
    <row r="1909" spans="1:13" x14ac:dyDescent="0.2">
      <c r="A1909" s="163">
        <v>457</v>
      </c>
      <c r="B1909" s="164" t="s">
        <v>2470</v>
      </c>
      <c r="C1909" s="165"/>
      <c r="D1909" s="166" t="s">
        <v>107</v>
      </c>
      <c r="E1909" s="166"/>
      <c r="F1909" s="166"/>
      <c r="G1909" s="166"/>
      <c r="H1909" s="248"/>
      <c r="I1909" s="217" t="s">
        <v>2471</v>
      </c>
      <c r="J1909" s="267" t="s">
        <v>681</v>
      </c>
      <c r="K1909" s="268">
        <f>7700*60%</f>
        <v>4620</v>
      </c>
      <c r="L1909" s="195" t="s">
        <v>111</v>
      </c>
      <c r="M1909" s="171" t="s">
        <v>2472</v>
      </c>
    </row>
    <row r="1910" spans="1:13" x14ac:dyDescent="0.2">
      <c r="A1910" s="173"/>
      <c r="B1910" s="174"/>
      <c r="C1910" s="175"/>
      <c r="D1910" s="176"/>
      <c r="E1910" s="176"/>
      <c r="F1910" s="176"/>
      <c r="G1910" s="176"/>
      <c r="H1910" s="250"/>
      <c r="I1910" s="184" t="s">
        <v>2473</v>
      </c>
      <c r="J1910" s="272" t="s">
        <v>681</v>
      </c>
      <c r="K1910" s="214">
        <f>7700*20%</f>
        <v>1540</v>
      </c>
      <c r="L1910" s="197"/>
      <c r="M1910" s="181"/>
    </row>
    <row r="1911" spans="1:13" x14ac:dyDescent="0.2">
      <c r="A1911" s="173"/>
      <c r="B1911" s="174"/>
      <c r="C1911" s="175"/>
      <c r="D1911" s="176"/>
      <c r="E1911" s="176"/>
      <c r="F1911" s="176"/>
      <c r="G1911" s="176"/>
      <c r="H1911" s="250"/>
      <c r="I1911" s="184" t="s">
        <v>2474</v>
      </c>
      <c r="J1911" s="272" t="s">
        <v>681</v>
      </c>
      <c r="K1911" s="214">
        <f>7700*20%</f>
        <v>1540</v>
      </c>
      <c r="L1911" s="197"/>
      <c r="M1911" s="181"/>
    </row>
    <row r="1912" spans="1:13" x14ac:dyDescent="0.2">
      <c r="A1912" s="185"/>
      <c r="B1912" s="186"/>
      <c r="C1912" s="187"/>
      <c r="D1912" s="188"/>
      <c r="E1912" s="188"/>
      <c r="F1912" s="188"/>
      <c r="G1912" s="188"/>
      <c r="H1912" s="251"/>
      <c r="I1912" s="202"/>
      <c r="J1912" s="275"/>
      <c r="K1912" s="247">
        <f>SUM(K1909:K1911)</f>
        <v>7700</v>
      </c>
      <c r="L1912" s="205"/>
      <c r="M1912" s="193"/>
    </row>
    <row r="1913" spans="1:13" x14ac:dyDescent="0.2">
      <c r="A1913" s="163">
        <v>458</v>
      </c>
      <c r="B1913" s="164" t="s">
        <v>2475</v>
      </c>
      <c r="C1913" s="165"/>
      <c r="D1913" s="166" t="s">
        <v>107</v>
      </c>
      <c r="E1913" s="166"/>
      <c r="F1913" s="166"/>
      <c r="G1913" s="166"/>
      <c r="H1913" s="248"/>
      <c r="I1913" s="276" t="s">
        <v>2476</v>
      </c>
      <c r="J1913" s="277" t="s">
        <v>681</v>
      </c>
      <c r="K1913" s="278">
        <f>7700*60%</f>
        <v>4620</v>
      </c>
      <c r="L1913" s="195" t="s">
        <v>111</v>
      </c>
      <c r="M1913" s="171" t="s">
        <v>2477</v>
      </c>
    </row>
    <row r="1914" spans="1:13" x14ac:dyDescent="0.2">
      <c r="A1914" s="173"/>
      <c r="B1914" s="174"/>
      <c r="C1914" s="175"/>
      <c r="D1914" s="176"/>
      <c r="E1914" s="176"/>
      <c r="F1914" s="176"/>
      <c r="G1914" s="176"/>
      <c r="H1914" s="250"/>
      <c r="I1914" s="184" t="s">
        <v>2478</v>
      </c>
      <c r="J1914" s="272" t="s">
        <v>681</v>
      </c>
      <c r="K1914" s="214">
        <f>7700*20%</f>
        <v>1540</v>
      </c>
      <c r="L1914" s="197"/>
      <c r="M1914" s="181"/>
    </row>
    <row r="1915" spans="1:13" x14ac:dyDescent="0.2">
      <c r="A1915" s="173"/>
      <c r="B1915" s="174"/>
      <c r="C1915" s="175"/>
      <c r="D1915" s="176"/>
      <c r="E1915" s="176"/>
      <c r="F1915" s="176"/>
      <c r="G1915" s="176"/>
      <c r="H1915" s="250"/>
      <c r="I1915" s="184" t="s">
        <v>2474</v>
      </c>
      <c r="J1915" s="272" t="s">
        <v>681</v>
      </c>
      <c r="K1915" s="214">
        <f>7700*20%</f>
        <v>1540</v>
      </c>
      <c r="L1915" s="197"/>
      <c r="M1915" s="181"/>
    </row>
    <row r="1916" spans="1:13" x14ac:dyDescent="0.2">
      <c r="A1916" s="185"/>
      <c r="B1916" s="186"/>
      <c r="C1916" s="187"/>
      <c r="D1916" s="188"/>
      <c r="E1916" s="188"/>
      <c r="F1916" s="188"/>
      <c r="G1916" s="188"/>
      <c r="H1916" s="251"/>
      <c r="I1916" s="177"/>
      <c r="J1916" s="300"/>
      <c r="K1916" s="196">
        <f>SUM(K1913:K1915)</f>
        <v>7700</v>
      </c>
      <c r="L1916" s="205"/>
      <c r="M1916" s="193"/>
    </row>
    <row r="1917" spans="1:13" x14ac:dyDescent="0.2">
      <c r="A1917" s="163">
        <v>459</v>
      </c>
      <c r="B1917" s="164" t="s">
        <v>2479</v>
      </c>
      <c r="C1917" s="165"/>
      <c r="D1917" s="166" t="s">
        <v>107</v>
      </c>
      <c r="E1917" s="166"/>
      <c r="F1917" s="166"/>
      <c r="G1917" s="166"/>
      <c r="H1917" s="248" t="s">
        <v>137</v>
      </c>
      <c r="I1917" s="217" t="s">
        <v>2476</v>
      </c>
      <c r="J1917" s="267" t="s">
        <v>681</v>
      </c>
      <c r="K1917" s="268">
        <f>7700*60%</f>
        <v>4620</v>
      </c>
      <c r="L1917" s="195" t="s">
        <v>111</v>
      </c>
      <c r="M1917" s="171" t="s">
        <v>2480</v>
      </c>
    </row>
    <row r="1918" spans="1:13" x14ac:dyDescent="0.2">
      <c r="A1918" s="173"/>
      <c r="B1918" s="174"/>
      <c r="C1918" s="175"/>
      <c r="D1918" s="176"/>
      <c r="E1918" s="176"/>
      <c r="F1918" s="176"/>
      <c r="G1918" s="176"/>
      <c r="H1918" s="250"/>
      <c r="I1918" s="184" t="s">
        <v>2478</v>
      </c>
      <c r="J1918" s="272" t="s">
        <v>681</v>
      </c>
      <c r="K1918" s="214">
        <f>7700*20%</f>
        <v>1540</v>
      </c>
      <c r="L1918" s="197"/>
      <c r="M1918" s="181"/>
    </row>
    <row r="1919" spans="1:13" x14ac:dyDescent="0.2">
      <c r="A1919" s="173"/>
      <c r="B1919" s="174"/>
      <c r="C1919" s="175"/>
      <c r="D1919" s="176"/>
      <c r="E1919" s="176"/>
      <c r="F1919" s="176"/>
      <c r="G1919" s="176"/>
      <c r="H1919" s="250"/>
      <c r="I1919" s="184" t="s">
        <v>2474</v>
      </c>
      <c r="J1919" s="272" t="s">
        <v>681</v>
      </c>
      <c r="K1919" s="214">
        <f>7700*20%</f>
        <v>1540</v>
      </c>
      <c r="L1919" s="197"/>
      <c r="M1919" s="181"/>
    </row>
    <row r="1920" spans="1:13" x14ac:dyDescent="0.2">
      <c r="A1920" s="185"/>
      <c r="B1920" s="186"/>
      <c r="C1920" s="187"/>
      <c r="D1920" s="188"/>
      <c r="E1920" s="188"/>
      <c r="F1920" s="188"/>
      <c r="G1920" s="188"/>
      <c r="H1920" s="251"/>
      <c r="I1920" s="202"/>
      <c r="J1920" s="275"/>
      <c r="K1920" s="247">
        <f>SUM(K1917:K1919)</f>
        <v>7700</v>
      </c>
      <c r="L1920" s="205"/>
      <c r="M1920" s="193"/>
    </row>
    <row r="1921" spans="1:13" x14ac:dyDescent="0.2">
      <c r="A1921" s="163">
        <v>460</v>
      </c>
      <c r="B1921" s="164" t="s">
        <v>2481</v>
      </c>
      <c r="C1921" s="165"/>
      <c r="D1921" s="166" t="s">
        <v>107</v>
      </c>
      <c r="E1921" s="166"/>
      <c r="F1921" s="166"/>
      <c r="G1921" s="166"/>
      <c r="H1921" s="248" t="s">
        <v>164</v>
      </c>
      <c r="I1921" s="276" t="s">
        <v>2482</v>
      </c>
      <c r="J1921" s="277" t="s">
        <v>681</v>
      </c>
      <c r="K1921" s="278">
        <f>7700*80%</f>
        <v>6160</v>
      </c>
      <c r="L1921" s="195" t="s">
        <v>111</v>
      </c>
      <c r="M1921" s="171" t="s">
        <v>2483</v>
      </c>
    </row>
    <row r="1922" spans="1:13" x14ac:dyDescent="0.2">
      <c r="A1922" s="173"/>
      <c r="B1922" s="174"/>
      <c r="C1922" s="175"/>
      <c r="D1922" s="176"/>
      <c r="E1922" s="176"/>
      <c r="F1922" s="176"/>
      <c r="G1922" s="176"/>
      <c r="H1922" s="250"/>
      <c r="I1922" s="184" t="s">
        <v>2484</v>
      </c>
      <c r="J1922" s="272" t="s">
        <v>681</v>
      </c>
      <c r="K1922" s="214">
        <f>7700*20%</f>
        <v>1540</v>
      </c>
      <c r="L1922" s="197"/>
      <c r="M1922" s="181"/>
    </row>
    <row r="1923" spans="1:13" x14ac:dyDescent="0.2">
      <c r="A1923" s="185"/>
      <c r="B1923" s="186"/>
      <c r="C1923" s="187"/>
      <c r="D1923" s="188"/>
      <c r="E1923" s="188"/>
      <c r="F1923" s="188"/>
      <c r="G1923" s="188"/>
      <c r="H1923" s="251"/>
      <c r="I1923" s="177"/>
      <c r="J1923" s="300"/>
      <c r="K1923" s="196">
        <f>SUM(K1921:K1922)</f>
        <v>7700</v>
      </c>
      <c r="L1923" s="205"/>
      <c r="M1923" s="193"/>
    </row>
    <row r="1924" spans="1:13" x14ac:dyDescent="0.2">
      <c r="A1924" s="163">
        <v>461</v>
      </c>
      <c r="B1924" s="164" t="s">
        <v>2485</v>
      </c>
      <c r="C1924" s="165"/>
      <c r="D1924" s="166" t="s">
        <v>107</v>
      </c>
      <c r="E1924" s="166"/>
      <c r="F1924" s="166"/>
      <c r="G1924" s="166"/>
      <c r="H1924" s="248" t="s">
        <v>164</v>
      </c>
      <c r="I1924" s="217" t="s">
        <v>2486</v>
      </c>
      <c r="J1924" s="267" t="s">
        <v>681</v>
      </c>
      <c r="K1924" s="268">
        <f>7700*70%</f>
        <v>5390</v>
      </c>
      <c r="L1924" s="195" t="s">
        <v>111</v>
      </c>
      <c r="M1924" s="171" t="s">
        <v>2487</v>
      </c>
    </row>
    <row r="1925" spans="1:13" x14ac:dyDescent="0.2">
      <c r="A1925" s="173"/>
      <c r="B1925" s="174"/>
      <c r="C1925" s="175"/>
      <c r="D1925" s="176"/>
      <c r="E1925" s="176"/>
      <c r="F1925" s="176"/>
      <c r="G1925" s="176"/>
      <c r="H1925" s="250"/>
      <c r="I1925" s="184" t="s">
        <v>2488</v>
      </c>
      <c r="J1925" s="272" t="s">
        <v>681</v>
      </c>
      <c r="K1925" s="214">
        <f>7700*30%</f>
        <v>2310</v>
      </c>
      <c r="L1925" s="197"/>
      <c r="M1925" s="181"/>
    </row>
    <row r="1926" spans="1:13" x14ac:dyDescent="0.2">
      <c r="A1926" s="185"/>
      <c r="B1926" s="186"/>
      <c r="C1926" s="187"/>
      <c r="D1926" s="188"/>
      <c r="E1926" s="188"/>
      <c r="F1926" s="188"/>
      <c r="G1926" s="188"/>
      <c r="H1926" s="251"/>
      <c r="I1926" s="202"/>
      <c r="J1926" s="275"/>
      <c r="K1926" s="247">
        <f>SUM(K1924:K1925)</f>
        <v>7700</v>
      </c>
      <c r="L1926" s="205"/>
      <c r="M1926" s="193"/>
    </row>
    <row r="1927" spans="1:13" x14ac:dyDescent="0.2">
      <c r="A1927" s="163">
        <v>462</v>
      </c>
      <c r="B1927" s="164" t="s">
        <v>2489</v>
      </c>
      <c r="C1927" s="165"/>
      <c r="D1927" s="166" t="s">
        <v>25</v>
      </c>
      <c r="E1927" s="474"/>
      <c r="F1927" s="166" t="s">
        <v>1265</v>
      </c>
      <c r="G1927" s="166" t="s">
        <v>2490</v>
      </c>
      <c r="H1927" s="248" t="s">
        <v>769</v>
      </c>
      <c r="I1927" s="217" t="s">
        <v>2491</v>
      </c>
      <c r="J1927" s="386" t="s">
        <v>681</v>
      </c>
      <c r="K1927" s="382">
        <f>7140100*20%</f>
        <v>1428020</v>
      </c>
      <c r="L1927" s="171" t="s">
        <v>2490</v>
      </c>
      <c r="M1927" s="171" t="s">
        <v>2492</v>
      </c>
    </row>
    <row r="1928" spans="1:13" x14ac:dyDescent="0.2">
      <c r="A1928" s="173"/>
      <c r="B1928" s="174"/>
      <c r="C1928" s="175"/>
      <c r="D1928" s="176"/>
      <c r="E1928" s="176"/>
      <c r="F1928" s="176"/>
      <c r="G1928" s="176"/>
      <c r="H1928" s="250"/>
      <c r="I1928" s="184" t="s">
        <v>2493</v>
      </c>
      <c r="J1928" s="207" t="s">
        <v>196</v>
      </c>
      <c r="K1928" s="196">
        <f t="shared" ref="K1928:K1943" si="44">7140100*5%</f>
        <v>357005</v>
      </c>
      <c r="L1928" s="181"/>
      <c r="M1928" s="181"/>
    </row>
    <row r="1929" spans="1:13" x14ac:dyDescent="0.2">
      <c r="A1929" s="173"/>
      <c r="B1929" s="174"/>
      <c r="C1929" s="175"/>
      <c r="D1929" s="176"/>
      <c r="E1929" s="176"/>
      <c r="F1929" s="176"/>
      <c r="G1929" s="176"/>
      <c r="H1929" s="250"/>
      <c r="I1929" s="167" t="s">
        <v>2494</v>
      </c>
      <c r="J1929" s="207" t="s">
        <v>681</v>
      </c>
      <c r="K1929" s="196">
        <f t="shared" si="44"/>
        <v>357005</v>
      </c>
      <c r="L1929" s="181"/>
      <c r="M1929" s="181"/>
    </row>
    <row r="1930" spans="1:13" x14ac:dyDescent="0.2">
      <c r="A1930" s="173"/>
      <c r="B1930" s="174"/>
      <c r="C1930" s="175"/>
      <c r="D1930" s="176"/>
      <c r="E1930" s="176"/>
      <c r="F1930" s="176"/>
      <c r="G1930" s="176"/>
      <c r="H1930" s="250"/>
      <c r="I1930" s="177" t="s">
        <v>2495</v>
      </c>
      <c r="J1930" s="207" t="s">
        <v>681</v>
      </c>
      <c r="K1930" s="196">
        <f t="shared" si="44"/>
        <v>357005</v>
      </c>
      <c r="L1930" s="181"/>
      <c r="M1930" s="181"/>
    </row>
    <row r="1931" spans="1:13" x14ac:dyDescent="0.2">
      <c r="A1931" s="173"/>
      <c r="B1931" s="174"/>
      <c r="C1931" s="175"/>
      <c r="D1931" s="176"/>
      <c r="E1931" s="176"/>
      <c r="F1931" s="176"/>
      <c r="G1931" s="176"/>
      <c r="H1931" s="250"/>
      <c r="I1931" s="177" t="s">
        <v>2496</v>
      </c>
      <c r="J1931" s="138" t="s">
        <v>1434</v>
      </c>
      <c r="K1931" s="196">
        <f t="shared" si="44"/>
        <v>357005</v>
      </c>
      <c r="L1931" s="181"/>
      <c r="M1931" s="181"/>
    </row>
    <row r="1932" spans="1:13" x14ac:dyDescent="0.2">
      <c r="A1932" s="173"/>
      <c r="B1932" s="174"/>
      <c r="C1932" s="175"/>
      <c r="D1932" s="176"/>
      <c r="E1932" s="176"/>
      <c r="F1932" s="176"/>
      <c r="G1932" s="176"/>
      <c r="H1932" s="250"/>
      <c r="I1932" s="177" t="s">
        <v>2497</v>
      </c>
      <c r="J1932" s="226" t="s">
        <v>662</v>
      </c>
      <c r="K1932" s="196">
        <f t="shared" si="44"/>
        <v>357005</v>
      </c>
      <c r="L1932" s="181"/>
      <c r="M1932" s="181"/>
    </row>
    <row r="1933" spans="1:13" x14ac:dyDescent="0.2">
      <c r="A1933" s="173"/>
      <c r="B1933" s="174"/>
      <c r="C1933" s="175"/>
      <c r="D1933" s="176"/>
      <c r="E1933" s="176"/>
      <c r="F1933" s="176"/>
      <c r="G1933" s="176"/>
      <c r="H1933" s="250"/>
      <c r="I1933" s="184" t="s">
        <v>2498</v>
      </c>
      <c r="J1933" s="207" t="s">
        <v>681</v>
      </c>
      <c r="K1933" s="214">
        <f t="shared" si="44"/>
        <v>357005</v>
      </c>
      <c r="L1933" s="181"/>
      <c r="M1933" s="181"/>
    </row>
    <row r="1934" spans="1:13" x14ac:dyDescent="0.2">
      <c r="A1934" s="173"/>
      <c r="B1934" s="174"/>
      <c r="C1934" s="175"/>
      <c r="D1934" s="176"/>
      <c r="E1934" s="176"/>
      <c r="F1934" s="176"/>
      <c r="G1934" s="176"/>
      <c r="H1934" s="250"/>
      <c r="I1934" s="177" t="s">
        <v>1451</v>
      </c>
      <c r="J1934" s="207" t="s">
        <v>681</v>
      </c>
      <c r="K1934" s="214">
        <f t="shared" si="44"/>
        <v>357005</v>
      </c>
      <c r="L1934" s="181"/>
      <c r="M1934" s="181"/>
    </row>
    <row r="1935" spans="1:13" x14ac:dyDescent="0.2">
      <c r="A1935" s="173"/>
      <c r="B1935" s="174"/>
      <c r="C1935" s="175"/>
      <c r="D1935" s="176"/>
      <c r="E1935" s="176"/>
      <c r="F1935" s="176"/>
      <c r="G1935" s="176"/>
      <c r="H1935" s="250"/>
      <c r="I1935" s="177" t="s">
        <v>2499</v>
      </c>
      <c r="J1935" s="138" t="s">
        <v>681</v>
      </c>
      <c r="K1935" s="214">
        <f t="shared" si="44"/>
        <v>357005</v>
      </c>
      <c r="L1935" s="181"/>
      <c r="M1935" s="181"/>
    </row>
    <row r="1936" spans="1:13" x14ac:dyDescent="0.2">
      <c r="A1936" s="173"/>
      <c r="B1936" s="174"/>
      <c r="C1936" s="175"/>
      <c r="D1936" s="176"/>
      <c r="E1936" s="176"/>
      <c r="F1936" s="176"/>
      <c r="G1936" s="176"/>
      <c r="H1936" s="250"/>
      <c r="I1936" s="177" t="s">
        <v>2500</v>
      </c>
      <c r="J1936" s="207" t="s">
        <v>681</v>
      </c>
      <c r="K1936" s="382">
        <f t="shared" si="44"/>
        <v>357005</v>
      </c>
      <c r="L1936" s="181"/>
      <c r="M1936" s="181"/>
    </row>
    <row r="1937" spans="1:14" x14ac:dyDescent="0.2">
      <c r="A1937" s="173"/>
      <c r="B1937" s="174"/>
      <c r="C1937" s="175"/>
      <c r="D1937" s="176"/>
      <c r="E1937" s="176"/>
      <c r="F1937" s="176"/>
      <c r="G1937" s="176"/>
      <c r="H1937" s="250"/>
      <c r="I1937" s="177" t="s">
        <v>2501</v>
      </c>
      <c r="J1937" s="207" t="s">
        <v>681</v>
      </c>
      <c r="K1937" s="196">
        <f t="shared" si="44"/>
        <v>357005</v>
      </c>
      <c r="L1937" s="181"/>
      <c r="M1937" s="181"/>
    </row>
    <row r="1938" spans="1:14" x14ac:dyDescent="0.2">
      <c r="A1938" s="173"/>
      <c r="B1938" s="174"/>
      <c r="C1938" s="175"/>
      <c r="D1938" s="176"/>
      <c r="E1938" s="176"/>
      <c r="F1938" s="176"/>
      <c r="G1938" s="176"/>
      <c r="H1938" s="250"/>
      <c r="I1938" s="475" t="s">
        <v>2502</v>
      </c>
      <c r="J1938" s="207" t="s">
        <v>681</v>
      </c>
      <c r="K1938" s="196">
        <f t="shared" si="44"/>
        <v>357005</v>
      </c>
      <c r="L1938" s="181"/>
      <c r="M1938" s="181"/>
    </row>
    <row r="1939" spans="1:14" x14ac:dyDescent="0.2">
      <c r="A1939" s="173"/>
      <c r="B1939" s="174"/>
      <c r="C1939" s="175"/>
      <c r="D1939" s="176"/>
      <c r="E1939" s="176"/>
      <c r="F1939" s="176"/>
      <c r="G1939" s="176"/>
      <c r="H1939" s="250"/>
      <c r="I1939" s="476" t="s">
        <v>695</v>
      </c>
      <c r="J1939" s="207" t="s">
        <v>681</v>
      </c>
      <c r="K1939" s="214">
        <f t="shared" si="44"/>
        <v>357005</v>
      </c>
      <c r="L1939" s="181"/>
      <c r="M1939" s="181"/>
    </row>
    <row r="1940" spans="1:14" x14ac:dyDescent="0.2">
      <c r="A1940" s="173"/>
      <c r="B1940" s="174"/>
      <c r="C1940" s="175"/>
      <c r="D1940" s="176"/>
      <c r="E1940" s="176"/>
      <c r="F1940" s="176"/>
      <c r="G1940" s="176"/>
      <c r="H1940" s="250"/>
      <c r="I1940" s="475" t="s">
        <v>2503</v>
      </c>
      <c r="J1940" s="226" t="s">
        <v>681</v>
      </c>
      <c r="K1940" s="196">
        <f t="shared" si="44"/>
        <v>357005</v>
      </c>
      <c r="L1940" s="181"/>
      <c r="M1940" s="181"/>
    </row>
    <row r="1941" spans="1:14" x14ac:dyDescent="0.2">
      <c r="A1941" s="173"/>
      <c r="B1941" s="174"/>
      <c r="C1941" s="175"/>
      <c r="D1941" s="176"/>
      <c r="E1941" s="176"/>
      <c r="F1941" s="176"/>
      <c r="G1941" s="176"/>
      <c r="H1941" s="250"/>
      <c r="I1941" s="475" t="s">
        <v>2504</v>
      </c>
      <c r="J1941" s="226" t="s">
        <v>681</v>
      </c>
      <c r="K1941" s="196">
        <f t="shared" si="44"/>
        <v>357005</v>
      </c>
      <c r="L1941" s="181"/>
      <c r="M1941" s="181"/>
    </row>
    <row r="1942" spans="1:14" x14ac:dyDescent="0.2">
      <c r="A1942" s="173"/>
      <c r="B1942" s="174"/>
      <c r="C1942" s="175"/>
      <c r="D1942" s="176"/>
      <c r="E1942" s="176"/>
      <c r="F1942" s="176"/>
      <c r="G1942" s="176"/>
      <c r="H1942" s="250"/>
      <c r="I1942" s="475" t="s">
        <v>2505</v>
      </c>
      <c r="J1942" s="226" t="s">
        <v>1116</v>
      </c>
      <c r="K1942" s="196">
        <f t="shared" si="44"/>
        <v>357005</v>
      </c>
      <c r="L1942" s="181"/>
      <c r="M1942" s="181"/>
    </row>
    <row r="1943" spans="1:14" x14ac:dyDescent="0.2">
      <c r="A1943" s="173"/>
      <c r="B1943" s="174"/>
      <c r="C1943" s="175"/>
      <c r="D1943" s="176"/>
      <c r="E1943" s="176"/>
      <c r="F1943" s="176"/>
      <c r="G1943" s="176"/>
      <c r="H1943" s="250"/>
      <c r="I1943" s="475" t="s">
        <v>189</v>
      </c>
      <c r="J1943" s="226" t="s">
        <v>190</v>
      </c>
      <c r="K1943" s="196">
        <f t="shared" si="44"/>
        <v>357005</v>
      </c>
      <c r="L1943" s="181"/>
      <c r="M1943" s="181"/>
      <c r="N1943" s="172"/>
    </row>
    <row r="1944" spans="1:14" x14ac:dyDescent="0.2">
      <c r="A1944" s="185"/>
      <c r="B1944" s="186"/>
      <c r="C1944" s="187"/>
      <c r="D1944" s="188"/>
      <c r="E1944" s="188"/>
      <c r="F1944" s="188"/>
      <c r="G1944" s="188"/>
      <c r="H1944" s="251"/>
      <c r="I1944" s="202"/>
      <c r="J1944" s="203"/>
      <c r="K1944" s="196">
        <f>SUM(K1927:K1943)</f>
        <v>7140100</v>
      </c>
      <c r="L1944" s="193"/>
      <c r="M1944" s="193"/>
    </row>
    <row r="1945" spans="1:14" x14ac:dyDescent="0.2">
      <c r="A1945" s="163">
        <v>463</v>
      </c>
      <c r="B1945" s="164" t="s">
        <v>2506</v>
      </c>
      <c r="C1945" s="165"/>
      <c r="D1945" s="252" t="s">
        <v>107</v>
      </c>
      <c r="E1945" s="166"/>
      <c r="F1945" s="166"/>
      <c r="G1945" s="166"/>
      <c r="H1945" s="166"/>
      <c r="I1945" s="167" t="s">
        <v>2507</v>
      </c>
      <c r="J1945" s="168" t="s">
        <v>1452</v>
      </c>
      <c r="K1945" s="169">
        <f>18000*10%</f>
        <v>1800</v>
      </c>
      <c r="L1945" s="170" t="s">
        <v>111</v>
      </c>
      <c r="M1945" s="171" t="s">
        <v>2508</v>
      </c>
    </row>
    <row r="1946" spans="1:14" x14ac:dyDescent="0.2">
      <c r="A1946" s="173"/>
      <c r="B1946" s="174"/>
      <c r="C1946" s="175"/>
      <c r="D1946" s="245"/>
      <c r="E1946" s="176"/>
      <c r="F1946" s="176"/>
      <c r="G1946" s="176"/>
      <c r="H1946" s="176"/>
      <c r="I1946" s="184" t="s">
        <v>2509</v>
      </c>
      <c r="J1946" s="183" t="s">
        <v>1452</v>
      </c>
      <c r="K1946" s="208">
        <f>18000*6%</f>
        <v>1080</v>
      </c>
      <c r="L1946" s="180"/>
      <c r="M1946" s="181"/>
    </row>
    <row r="1947" spans="1:14" x14ac:dyDescent="0.2">
      <c r="A1947" s="173"/>
      <c r="B1947" s="174"/>
      <c r="C1947" s="175"/>
      <c r="D1947" s="245"/>
      <c r="E1947" s="176"/>
      <c r="F1947" s="176"/>
      <c r="G1947" s="176"/>
      <c r="H1947" s="176"/>
      <c r="I1947" s="184" t="s">
        <v>1663</v>
      </c>
      <c r="J1947" s="178" t="s">
        <v>1452</v>
      </c>
      <c r="K1947" s="201">
        <f>18000*10%</f>
        <v>1800</v>
      </c>
      <c r="L1947" s="180"/>
      <c r="M1947" s="181"/>
    </row>
    <row r="1948" spans="1:14" x14ac:dyDescent="0.2">
      <c r="A1948" s="173"/>
      <c r="B1948" s="174"/>
      <c r="C1948" s="175"/>
      <c r="D1948" s="245"/>
      <c r="E1948" s="176"/>
      <c r="F1948" s="176"/>
      <c r="G1948" s="176"/>
      <c r="H1948" s="176"/>
      <c r="I1948" s="167" t="s">
        <v>2510</v>
      </c>
      <c r="J1948" s="178" t="s">
        <v>1452</v>
      </c>
      <c r="K1948" s="208">
        <f>18000*6%</f>
        <v>1080</v>
      </c>
      <c r="L1948" s="180"/>
      <c r="M1948" s="181"/>
    </row>
    <row r="1949" spans="1:14" x14ac:dyDescent="0.2">
      <c r="A1949" s="173"/>
      <c r="B1949" s="174"/>
      <c r="C1949" s="175"/>
      <c r="D1949" s="245"/>
      <c r="E1949" s="176"/>
      <c r="F1949" s="176"/>
      <c r="G1949" s="176"/>
      <c r="H1949" s="176"/>
      <c r="I1949" s="177" t="s">
        <v>2511</v>
      </c>
      <c r="J1949" s="178" t="s">
        <v>1452</v>
      </c>
      <c r="K1949" s="230">
        <f>18000*6%</f>
        <v>1080</v>
      </c>
      <c r="L1949" s="180"/>
      <c r="M1949" s="181"/>
    </row>
    <row r="1950" spans="1:14" x14ac:dyDescent="0.2">
      <c r="A1950" s="173"/>
      <c r="B1950" s="174"/>
      <c r="C1950" s="175"/>
      <c r="D1950" s="245"/>
      <c r="E1950" s="176"/>
      <c r="F1950" s="176"/>
      <c r="G1950" s="176"/>
      <c r="H1950" s="176"/>
      <c r="I1950" s="177" t="s">
        <v>2512</v>
      </c>
      <c r="J1950" s="178" t="s">
        <v>1452</v>
      </c>
      <c r="K1950" s="208">
        <f>18000*30%</f>
        <v>5400</v>
      </c>
      <c r="L1950" s="180"/>
      <c r="M1950" s="181"/>
    </row>
    <row r="1951" spans="1:14" x14ac:dyDescent="0.2">
      <c r="A1951" s="173"/>
      <c r="B1951" s="174"/>
      <c r="C1951" s="175"/>
      <c r="D1951" s="245"/>
      <c r="E1951" s="176"/>
      <c r="F1951" s="176"/>
      <c r="G1951" s="176"/>
      <c r="H1951" s="176"/>
      <c r="I1951" s="184" t="s">
        <v>2513</v>
      </c>
      <c r="J1951" s="168" t="s">
        <v>683</v>
      </c>
      <c r="K1951" s="201">
        <f>18000*32%</f>
        <v>5760</v>
      </c>
      <c r="L1951" s="180"/>
      <c r="M1951" s="181"/>
    </row>
    <row r="1952" spans="1:14" x14ac:dyDescent="0.2">
      <c r="A1952" s="185"/>
      <c r="B1952" s="186"/>
      <c r="C1952" s="187"/>
      <c r="D1952" s="246"/>
      <c r="E1952" s="188"/>
      <c r="F1952" s="188"/>
      <c r="G1952" s="188"/>
      <c r="H1952" s="188"/>
      <c r="I1952" s="189"/>
      <c r="J1952" s="190"/>
      <c r="K1952" s="191">
        <f>SUM(K1945:K1951)</f>
        <v>18000</v>
      </c>
      <c r="L1952" s="192"/>
      <c r="M1952" s="193"/>
    </row>
    <row r="1953" spans="1:67" ht="31.5" customHeight="1" x14ac:dyDescent="0.2">
      <c r="A1953" s="232">
        <v>464</v>
      </c>
      <c r="B1953" s="255" t="s">
        <v>2514</v>
      </c>
      <c r="C1953" s="256" t="s">
        <v>2514</v>
      </c>
      <c r="D1953" s="257" t="s">
        <v>107</v>
      </c>
      <c r="E1953" s="258"/>
      <c r="F1953" s="258"/>
      <c r="G1953" s="258"/>
      <c r="H1953" s="259"/>
      <c r="I1953" s="189" t="s">
        <v>2515</v>
      </c>
      <c r="J1953" s="215" t="s">
        <v>681</v>
      </c>
      <c r="K1953" s="260">
        <v>7700</v>
      </c>
      <c r="L1953" s="261" t="s">
        <v>111</v>
      </c>
      <c r="M1953" s="189" t="s">
        <v>2516</v>
      </c>
    </row>
    <row r="1954" spans="1:67" s="269" customFormat="1" ht="78.75" customHeight="1" x14ac:dyDescent="0.2">
      <c r="A1954" s="305">
        <v>465</v>
      </c>
      <c r="B1954" s="310" t="s">
        <v>2517</v>
      </c>
      <c r="C1954" s="311"/>
      <c r="D1954" s="308" t="s">
        <v>107</v>
      </c>
      <c r="E1954" s="308"/>
      <c r="F1954" s="308"/>
      <c r="G1954" s="308"/>
      <c r="H1954" s="308"/>
      <c r="I1954" s="282" t="s">
        <v>2518</v>
      </c>
      <c r="J1954" s="283" t="s">
        <v>681</v>
      </c>
      <c r="K1954" s="284">
        <v>10000</v>
      </c>
      <c r="L1954" s="306" t="s">
        <v>111</v>
      </c>
      <c r="M1954" s="261" t="s">
        <v>2519</v>
      </c>
      <c r="N1954" s="132"/>
      <c r="O1954" s="132"/>
      <c r="P1954" s="132"/>
      <c r="Q1954" s="132"/>
      <c r="R1954" s="132"/>
      <c r="S1954" s="132"/>
      <c r="T1954" s="132"/>
      <c r="U1954" s="132"/>
      <c r="V1954" s="132"/>
      <c r="W1954" s="132"/>
      <c r="X1954" s="132"/>
      <c r="Y1954" s="132"/>
      <c r="Z1954" s="132"/>
      <c r="AA1954" s="132"/>
      <c r="AB1954" s="132"/>
      <c r="AC1954" s="132"/>
      <c r="AD1954" s="132"/>
      <c r="AE1954" s="132"/>
      <c r="AF1954" s="132"/>
      <c r="AG1954" s="132"/>
      <c r="AH1954" s="132"/>
      <c r="AI1954" s="132"/>
      <c r="AJ1954" s="132"/>
      <c r="AK1954" s="132"/>
      <c r="AL1954" s="132"/>
      <c r="AM1954" s="132"/>
      <c r="AN1954" s="132"/>
      <c r="AO1954" s="132"/>
      <c r="AP1954" s="132"/>
      <c r="AQ1954" s="132"/>
      <c r="AR1954" s="132"/>
      <c r="AS1954" s="132"/>
      <c r="AT1954" s="132"/>
      <c r="AU1954" s="132"/>
      <c r="AV1954" s="132"/>
      <c r="AW1954" s="132"/>
      <c r="AX1954" s="132"/>
      <c r="AY1954" s="132"/>
      <c r="AZ1954" s="132"/>
      <c r="BA1954" s="132"/>
      <c r="BB1954" s="132"/>
      <c r="BC1954" s="132"/>
      <c r="BD1954" s="132"/>
      <c r="BE1954" s="132"/>
      <c r="BF1954" s="132"/>
      <c r="BG1954" s="132"/>
      <c r="BH1954" s="132"/>
      <c r="BI1954" s="132"/>
      <c r="BJ1954" s="132"/>
      <c r="BK1954" s="132"/>
      <c r="BL1954" s="132"/>
      <c r="BM1954" s="132"/>
      <c r="BN1954" s="132"/>
      <c r="BO1954" s="132"/>
    </row>
    <row r="1955" spans="1:67" s="269" customFormat="1" ht="58.5" customHeight="1" x14ac:dyDescent="0.2">
      <c r="A1955" s="305">
        <v>466</v>
      </c>
      <c r="B1955" s="310" t="s">
        <v>2520</v>
      </c>
      <c r="C1955" s="311"/>
      <c r="D1955" s="308" t="s">
        <v>107</v>
      </c>
      <c r="E1955" s="308"/>
      <c r="F1955" s="308"/>
      <c r="G1955" s="308"/>
      <c r="H1955" s="308"/>
      <c r="I1955" s="282" t="s">
        <v>2521</v>
      </c>
      <c r="J1955" s="283" t="s">
        <v>681</v>
      </c>
      <c r="K1955" s="284">
        <v>7700</v>
      </c>
      <c r="L1955" s="306" t="s">
        <v>111</v>
      </c>
      <c r="M1955" s="261" t="s">
        <v>2522</v>
      </c>
      <c r="N1955" s="132"/>
      <c r="O1955" s="132"/>
      <c r="P1955" s="132"/>
      <c r="Q1955" s="132"/>
      <c r="R1955" s="132"/>
      <c r="S1955" s="132"/>
      <c r="T1955" s="132"/>
      <c r="U1955" s="132"/>
      <c r="V1955" s="132"/>
      <c r="W1955" s="132"/>
      <c r="X1955" s="132"/>
      <c r="Y1955" s="132"/>
      <c r="Z1955" s="132"/>
      <c r="AA1955" s="132"/>
      <c r="AB1955" s="132"/>
      <c r="AC1955" s="132"/>
      <c r="AD1955" s="132"/>
      <c r="AE1955" s="132"/>
      <c r="AF1955" s="132"/>
      <c r="AG1955" s="132"/>
      <c r="AH1955" s="132"/>
      <c r="AI1955" s="132"/>
      <c r="AJ1955" s="132"/>
      <c r="AK1955" s="132"/>
      <c r="AL1955" s="132"/>
      <c r="AM1955" s="132"/>
      <c r="AN1955" s="132"/>
      <c r="AO1955" s="132"/>
      <c r="AP1955" s="132"/>
      <c r="AQ1955" s="132"/>
      <c r="AR1955" s="132"/>
      <c r="AS1955" s="132"/>
      <c r="AT1955" s="132"/>
      <c r="AU1955" s="132"/>
      <c r="AV1955" s="132"/>
      <c r="AW1955" s="132"/>
      <c r="AX1955" s="132"/>
      <c r="AY1955" s="132"/>
      <c r="AZ1955" s="132"/>
      <c r="BA1955" s="132"/>
      <c r="BB1955" s="132"/>
      <c r="BC1955" s="132"/>
      <c r="BD1955" s="132"/>
      <c r="BE1955" s="132"/>
      <c r="BF1955" s="132"/>
      <c r="BG1955" s="132"/>
      <c r="BH1955" s="132"/>
      <c r="BI1955" s="132"/>
      <c r="BJ1955" s="132"/>
      <c r="BK1955" s="132"/>
      <c r="BL1955" s="132"/>
      <c r="BM1955" s="132"/>
      <c r="BN1955" s="132"/>
      <c r="BO1955" s="132"/>
    </row>
    <row r="1956" spans="1:67" s="269" customFormat="1" ht="21" customHeight="1" x14ac:dyDescent="0.2">
      <c r="A1956" s="163">
        <v>467</v>
      </c>
      <c r="B1956" s="293" t="s">
        <v>2523</v>
      </c>
      <c r="C1956" s="294"/>
      <c r="D1956" s="166" t="s">
        <v>107</v>
      </c>
      <c r="E1956" s="166"/>
      <c r="F1956" s="166"/>
      <c r="G1956" s="166"/>
      <c r="H1956" s="166"/>
      <c r="I1956" s="276" t="s">
        <v>2524</v>
      </c>
      <c r="J1956" s="277" t="s">
        <v>681</v>
      </c>
      <c r="K1956" s="278">
        <f>6300*50%</f>
        <v>3150</v>
      </c>
      <c r="L1956" s="171" t="s">
        <v>111</v>
      </c>
      <c r="M1956" s="171" t="s">
        <v>2525</v>
      </c>
      <c r="N1956" s="132"/>
      <c r="O1956" s="132"/>
      <c r="P1956" s="132"/>
      <c r="Q1956" s="132"/>
      <c r="R1956" s="132"/>
      <c r="S1956" s="132"/>
      <c r="T1956" s="132"/>
      <c r="U1956" s="132"/>
      <c r="V1956" s="132"/>
      <c r="W1956" s="132"/>
      <c r="X1956" s="132"/>
      <c r="Y1956" s="132"/>
      <c r="Z1956" s="132"/>
      <c r="AA1956" s="132"/>
      <c r="AB1956" s="132"/>
      <c r="AC1956" s="132"/>
      <c r="AD1956" s="132"/>
      <c r="AE1956" s="132"/>
      <c r="AF1956" s="132"/>
      <c r="AG1956" s="132"/>
      <c r="AH1956" s="132"/>
      <c r="AI1956" s="132"/>
      <c r="AJ1956" s="132"/>
      <c r="AK1956" s="132"/>
      <c r="AL1956" s="132"/>
      <c r="AM1956" s="132"/>
      <c r="AN1956" s="132"/>
      <c r="AO1956" s="132"/>
      <c r="AP1956" s="132"/>
      <c r="AQ1956" s="132"/>
      <c r="AR1956" s="132"/>
      <c r="AS1956" s="132"/>
      <c r="AT1956" s="132"/>
      <c r="AU1956" s="132"/>
      <c r="AV1956" s="132"/>
      <c r="AW1956" s="132"/>
      <c r="AX1956" s="132"/>
      <c r="AY1956" s="132"/>
      <c r="AZ1956" s="132"/>
      <c r="BA1956" s="132"/>
      <c r="BB1956" s="132"/>
      <c r="BC1956" s="132"/>
      <c r="BD1956" s="132"/>
      <c r="BE1956" s="132"/>
      <c r="BF1956" s="132"/>
      <c r="BG1956" s="132"/>
      <c r="BH1956" s="132"/>
      <c r="BI1956" s="132"/>
      <c r="BJ1956" s="132"/>
      <c r="BK1956" s="132"/>
      <c r="BL1956" s="132"/>
      <c r="BM1956" s="132"/>
      <c r="BN1956" s="132"/>
      <c r="BO1956" s="132"/>
    </row>
    <row r="1957" spans="1:67" s="269" customFormat="1" ht="21" customHeight="1" x14ac:dyDescent="0.2">
      <c r="A1957" s="173"/>
      <c r="B1957" s="288"/>
      <c r="C1957" s="289"/>
      <c r="D1957" s="176"/>
      <c r="E1957" s="176"/>
      <c r="F1957" s="176"/>
      <c r="G1957" s="176"/>
      <c r="H1957" s="176"/>
      <c r="I1957" s="184" t="s">
        <v>2526</v>
      </c>
      <c r="J1957" s="272" t="s">
        <v>275</v>
      </c>
      <c r="K1957" s="214">
        <f>6300*20%</f>
        <v>1260</v>
      </c>
      <c r="L1957" s="181"/>
      <c r="M1957" s="181"/>
      <c r="N1957" s="132"/>
      <c r="O1957" s="132"/>
      <c r="P1957" s="132"/>
      <c r="Q1957" s="132"/>
      <c r="R1957" s="132"/>
      <c r="S1957" s="132"/>
      <c r="T1957" s="132"/>
      <c r="U1957" s="132"/>
      <c r="V1957" s="132"/>
      <c r="W1957" s="132"/>
      <c r="X1957" s="132"/>
      <c r="Y1957" s="132"/>
      <c r="Z1957" s="132"/>
      <c r="AA1957" s="132"/>
      <c r="AB1957" s="132"/>
      <c r="AC1957" s="132"/>
      <c r="AD1957" s="132"/>
      <c r="AE1957" s="132"/>
      <c r="AF1957" s="132"/>
      <c r="AG1957" s="132"/>
      <c r="AH1957" s="132"/>
      <c r="AI1957" s="132"/>
      <c r="AJ1957" s="132"/>
      <c r="AK1957" s="132"/>
      <c r="AL1957" s="132"/>
      <c r="AM1957" s="132"/>
      <c r="AN1957" s="132"/>
      <c r="AO1957" s="132"/>
      <c r="AP1957" s="132"/>
      <c r="AQ1957" s="132"/>
      <c r="AR1957" s="132"/>
      <c r="AS1957" s="132"/>
      <c r="AT1957" s="132"/>
      <c r="AU1957" s="132"/>
      <c r="AV1957" s="132"/>
      <c r="AW1957" s="132"/>
      <c r="AX1957" s="132"/>
      <c r="AY1957" s="132"/>
      <c r="AZ1957" s="132"/>
      <c r="BA1957" s="132"/>
      <c r="BB1957" s="132"/>
      <c r="BC1957" s="132"/>
      <c r="BD1957" s="132"/>
      <c r="BE1957" s="132"/>
      <c r="BF1957" s="132"/>
      <c r="BG1957" s="132"/>
      <c r="BH1957" s="132"/>
      <c r="BI1957" s="132"/>
      <c r="BJ1957" s="132"/>
      <c r="BK1957" s="132"/>
      <c r="BL1957" s="132"/>
      <c r="BM1957" s="132"/>
      <c r="BN1957" s="132"/>
      <c r="BO1957" s="132"/>
    </row>
    <row r="1958" spans="1:67" s="269" customFormat="1" ht="21" customHeight="1" x14ac:dyDescent="0.2">
      <c r="A1958" s="173"/>
      <c r="B1958" s="288"/>
      <c r="C1958" s="289"/>
      <c r="D1958" s="176"/>
      <c r="E1958" s="176"/>
      <c r="F1958" s="176"/>
      <c r="G1958" s="176"/>
      <c r="H1958" s="176"/>
      <c r="I1958" s="184" t="s">
        <v>2527</v>
      </c>
      <c r="J1958" s="272" t="s">
        <v>681</v>
      </c>
      <c r="K1958" s="214">
        <f>6300*20%</f>
        <v>1260</v>
      </c>
      <c r="L1958" s="181"/>
      <c r="M1958" s="181"/>
      <c r="N1958" s="132"/>
      <c r="O1958" s="132"/>
      <c r="P1958" s="132"/>
      <c r="Q1958" s="132"/>
      <c r="R1958" s="132"/>
      <c r="S1958" s="132"/>
      <c r="T1958" s="132"/>
      <c r="U1958" s="132"/>
      <c r="V1958" s="132"/>
      <c r="W1958" s="132"/>
      <c r="X1958" s="132"/>
      <c r="Y1958" s="132"/>
      <c r="Z1958" s="132"/>
      <c r="AA1958" s="132"/>
      <c r="AB1958" s="132"/>
      <c r="AC1958" s="132"/>
      <c r="AD1958" s="132"/>
      <c r="AE1958" s="132"/>
      <c r="AF1958" s="132"/>
      <c r="AG1958" s="132"/>
      <c r="AH1958" s="132"/>
      <c r="AI1958" s="132"/>
      <c r="AJ1958" s="132"/>
      <c r="AK1958" s="132"/>
      <c r="AL1958" s="132"/>
      <c r="AM1958" s="132"/>
      <c r="AN1958" s="132"/>
      <c r="AO1958" s="132"/>
      <c r="AP1958" s="132"/>
      <c r="AQ1958" s="132"/>
      <c r="AR1958" s="132"/>
      <c r="AS1958" s="132"/>
      <c r="AT1958" s="132"/>
      <c r="AU1958" s="132"/>
      <c r="AV1958" s="132"/>
      <c r="AW1958" s="132"/>
      <c r="AX1958" s="132"/>
      <c r="AY1958" s="132"/>
      <c r="AZ1958" s="132"/>
      <c r="BA1958" s="132"/>
      <c r="BB1958" s="132"/>
      <c r="BC1958" s="132"/>
      <c r="BD1958" s="132"/>
      <c r="BE1958" s="132"/>
      <c r="BF1958" s="132"/>
      <c r="BG1958" s="132"/>
      <c r="BH1958" s="132"/>
      <c r="BI1958" s="132"/>
      <c r="BJ1958" s="132"/>
      <c r="BK1958" s="132"/>
      <c r="BL1958" s="132"/>
      <c r="BM1958" s="132"/>
      <c r="BN1958" s="132"/>
      <c r="BO1958" s="132"/>
    </row>
    <row r="1959" spans="1:67" s="269" customFormat="1" ht="21" customHeight="1" x14ac:dyDescent="0.2">
      <c r="A1959" s="173"/>
      <c r="B1959" s="288"/>
      <c r="C1959" s="289"/>
      <c r="D1959" s="176"/>
      <c r="E1959" s="176"/>
      <c r="F1959" s="176"/>
      <c r="G1959" s="176"/>
      <c r="H1959" s="176"/>
      <c r="I1959" s="184" t="s">
        <v>2528</v>
      </c>
      <c r="J1959" s="272" t="s">
        <v>681</v>
      </c>
      <c r="K1959" s="214">
        <f>6300*10%</f>
        <v>630</v>
      </c>
      <c r="L1959" s="181"/>
      <c r="M1959" s="181"/>
      <c r="N1959" s="132"/>
      <c r="O1959" s="132"/>
      <c r="P1959" s="132"/>
      <c r="Q1959" s="132"/>
      <c r="R1959" s="132"/>
      <c r="S1959" s="132"/>
      <c r="T1959" s="132"/>
      <c r="U1959" s="132"/>
      <c r="V1959" s="132"/>
      <c r="W1959" s="132"/>
      <c r="X1959" s="132"/>
      <c r="Y1959" s="132"/>
      <c r="Z1959" s="132"/>
      <c r="AA1959" s="132"/>
      <c r="AB1959" s="132"/>
      <c r="AC1959" s="132"/>
      <c r="AD1959" s="132"/>
      <c r="AE1959" s="132"/>
      <c r="AF1959" s="132"/>
      <c r="AG1959" s="132"/>
      <c r="AH1959" s="132"/>
      <c r="AI1959" s="132"/>
      <c r="AJ1959" s="132"/>
      <c r="AK1959" s="132"/>
      <c r="AL1959" s="132"/>
      <c r="AM1959" s="132"/>
      <c r="AN1959" s="132"/>
      <c r="AO1959" s="132"/>
      <c r="AP1959" s="132"/>
      <c r="AQ1959" s="132"/>
      <c r="AR1959" s="132"/>
      <c r="AS1959" s="132"/>
      <c r="AT1959" s="132"/>
      <c r="AU1959" s="132"/>
      <c r="AV1959" s="132"/>
      <c r="AW1959" s="132"/>
      <c r="AX1959" s="132"/>
      <c r="AY1959" s="132"/>
      <c r="AZ1959" s="132"/>
      <c r="BA1959" s="132"/>
      <c r="BB1959" s="132"/>
      <c r="BC1959" s="132"/>
      <c r="BD1959" s="132"/>
      <c r="BE1959" s="132"/>
      <c r="BF1959" s="132"/>
      <c r="BG1959" s="132"/>
      <c r="BH1959" s="132"/>
      <c r="BI1959" s="132"/>
      <c r="BJ1959" s="132"/>
      <c r="BK1959" s="132"/>
      <c r="BL1959" s="132"/>
      <c r="BM1959" s="132"/>
      <c r="BN1959" s="132"/>
      <c r="BO1959" s="132"/>
    </row>
    <row r="1960" spans="1:67" s="269" customFormat="1" ht="21" customHeight="1" x14ac:dyDescent="0.2">
      <c r="A1960" s="185"/>
      <c r="B1960" s="298"/>
      <c r="C1960" s="299"/>
      <c r="D1960" s="188"/>
      <c r="E1960" s="188"/>
      <c r="F1960" s="188"/>
      <c r="G1960" s="188"/>
      <c r="H1960" s="188"/>
      <c r="I1960" s="177"/>
      <c r="J1960" s="300"/>
      <c r="K1960" s="196">
        <f>SUM(K1956:K1959)</f>
        <v>6300</v>
      </c>
      <c r="L1960" s="193"/>
      <c r="M1960" s="193"/>
      <c r="N1960" s="132"/>
      <c r="O1960" s="132"/>
      <c r="P1960" s="132"/>
      <c r="Q1960" s="132"/>
      <c r="R1960" s="132"/>
      <c r="S1960" s="132"/>
      <c r="T1960" s="132"/>
      <c r="U1960" s="132"/>
      <c r="V1960" s="132"/>
      <c r="W1960" s="132"/>
      <c r="X1960" s="132"/>
      <c r="Y1960" s="132"/>
      <c r="Z1960" s="132"/>
      <c r="AA1960" s="132"/>
      <c r="AB1960" s="132"/>
      <c r="AC1960" s="132"/>
      <c r="AD1960" s="132"/>
      <c r="AE1960" s="132"/>
      <c r="AF1960" s="132"/>
      <c r="AG1960" s="132"/>
      <c r="AH1960" s="132"/>
      <c r="AI1960" s="132"/>
      <c r="AJ1960" s="132"/>
      <c r="AK1960" s="132"/>
      <c r="AL1960" s="132"/>
      <c r="AM1960" s="132"/>
      <c r="AN1960" s="132"/>
      <c r="AO1960" s="132"/>
      <c r="AP1960" s="132"/>
      <c r="AQ1960" s="132"/>
      <c r="AR1960" s="132"/>
      <c r="AS1960" s="132"/>
      <c r="AT1960" s="132"/>
      <c r="AU1960" s="132"/>
      <c r="AV1960" s="132"/>
      <c r="AW1960" s="132"/>
      <c r="AX1960" s="132"/>
      <c r="AY1960" s="132"/>
      <c r="AZ1960" s="132"/>
      <c r="BA1960" s="132"/>
      <c r="BB1960" s="132"/>
      <c r="BC1960" s="132"/>
      <c r="BD1960" s="132"/>
      <c r="BE1960" s="132"/>
      <c r="BF1960" s="132"/>
      <c r="BG1960" s="132"/>
      <c r="BH1960" s="132"/>
      <c r="BI1960" s="132"/>
      <c r="BJ1960" s="132"/>
      <c r="BK1960" s="132"/>
      <c r="BL1960" s="132"/>
      <c r="BM1960" s="132"/>
      <c r="BN1960" s="132"/>
      <c r="BO1960" s="132"/>
    </row>
    <row r="1961" spans="1:67" s="269" customFormat="1" ht="21" customHeight="1" x14ac:dyDescent="0.2">
      <c r="A1961" s="163">
        <v>468</v>
      </c>
      <c r="B1961" s="293" t="s">
        <v>2529</v>
      </c>
      <c r="C1961" s="294"/>
      <c r="D1961" s="166" t="s">
        <v>107</v>
      </c>
      <c r="E1961" s="166"/>
      <c r="F1961" s="166"/>
      <c r="G1961" s="166"/>
      <c r="H1961" s="166"/>
      <c r="I1961" s="217" t="s">
        <v>2530</v>
      </c>
      <c r="J1961" s="267" t="s">
        <v>681</v>
      </c>
      <c r="K1961" s="268">
        <f>7700*60%</f>
        <v>4620</v>
      </c>
      <c r="L1961" s="171" t="s">
        <v>111</v>
      </c>
      <c r="M1961" s="171" t="s">
        <v>2531</v>
      </c>
      <c r="N1961" s="132"/>
      <c r="O1961" s="132"/>
      <c r="P1961" s="132"/>
      <c r="Q1961" s="132"/>
      <c r="R1961" s="132"/>
      <c r="S1961" s="132"/>
      <c r="T1961" s="132"/>
      <c r="U1961" s="132"/>
      <c r="V1961" s="132"/>
      <c r="W1961" s="132"/>
      <c r="X1961" s="132"/>
      <c r="Y1961" s="132"/>
      <c r="Z1961" s="132"/>
      <c r="AA1961" s="132"/>
      <c r="AB1961" s="132"/>
      <c r="AC1961" s="132"/>
      <c r="AD1961" s="132"/>
      <c r="AE1961" s="132"/>
      <c r="AF1961" s="132"/>
      <c r="AG1961" s="132"/>
      <c r="AH1961" s="132"/>
      <c r="AI1961" s="132"/>
      <c r="AJ1961" s="132"/>
      <c r="AK1961" s="132"/>
      <c r="AL1961" s="132"/>
      <c r="AM1961" s="132"/>
      <c r="AN1961" s="132"/>
      <c r="AO1961" s="132"/>
      <c r="AP1961" s="132"/>
      <c r="AQ1961" s="132"/>
      <c r="AR1961" s="132"/>
      <c r="AS1961" s="132"/>
      <c r="AT1961" s="132"/>
      <c r="AU1961" s="132"/>
      <c r="AV1961" s="132"/>
      <c r="AW1961" s="132"/>
      <c r="AX1961" s="132"/>
      <c r="AY1961" s="132"/>
      <c r="AZ1961" s="132"/>
      <c r="BA1961" s="132"/>
      <c r="BB1961" s="132"/>
      <c r="BC1961" s="132"/>
      <c r="BD1961" s="132"/>
      <c r="BE1961" s="132"/>
      <c r="BF1961" s="132"/>
      <c r="BG1961" s="132"/>
      <c r="BH1961" s="132"/>
      <c r="BI1961" s="132"/>
      <c r="BJ1961" s="132"/>
      <c r="BK1961" s="132"/>
      <c r="BL1961" s="132"/>
      <c r="BM1961" s="132"/>
      <c r="BN1961" s="132"/>
      <c r="BO1961" s="132"/>
    </row>
    <row r="1962" spans="1:67" s="269" customFormat="1" ht="21" customHeight="1" x14ac:dyDescent="0.2">
      <c r="A1962" s="173"/>
      <c r="B1962" s="288"/>
      <c r="C1962" s="289"/>
      <c r="D1962" s="176"/>
      <c r="E1962" s="176"/>
      <c r="F1962" s="176"/>
      <c r="G1962" s="176"/>
      <c r="H1962" s="176"/>
      <c r="I1962" s="184" t="s">
        <v>2532</v>
      </c>
      <c r="J1962" s="272" t="s">
        <v>681</v>
      </c>
      <c r="K1962" s="214">
        <f>7700*40%</f>
        <v>3080</v>
      </c>
      <c r="L1962" s="181"/>
      <c r="M1962" s="181"/>
      <c r="N1962" s="132"/>
      <c r="O1962" s="132"/>
      <c r="P1962" s="132"/>
      <c r="Q1962" s="132"/>
      <c r="R1962" s="132"/>
      <c r="S1962" s="132"/>
      <c r="T1962" s="132"/>
      <c r="U1962" s="132"/>
      <c r="V1962" s="132"/>
      <c r="W1962" s="132"/>
      <c r="X1962" s="132"/>
      <c r="Y1962" s="132"/>
      <c r="Z1962" s="132"/>
      <c r="AA1962" s="132"/>
      <c r="AB1962" s="132"/>
      <c r="AC1962" s="132"/>
      <c r="AD1962" s="132"/>
      <c r="AE1962" s="132"/>
      <c r="AF1962" s="132"/>
      <c r="AG1962" s="132"/>
      <c r="AH1962" s="132"/>
      <c r="AI1962" s="132"/>
      <c r="AJ1962" s="132"/>
      <c r="AK1962" s="132"/>
      <c r="AL1962" s="132"/>
      <c r="AM1962" s="132"/>
      <c r="AN1962" s="132"/>
      <c r="AO1962" s="132"/>
      <c r="AP1962" s="132"/>
      <c r="AQ1962" s="132"/>
      <c r="AR1962" s="132"/>
      <c r="AS1962" s="132"/>
      <c r="AT1962" s="132"/>
      <c r="AU1962" s="132"/>
      <c r="AV1962" s="132"/>
      <c r="AW1962" s="132"/>
      <c r="AX1962" s="132"/>
      <c r="AY1962" s="132"/>
      <c r="AZ1962" s="132"/>
      <c r="BA1962" s="132"/>
      <c r="BB1962" s="132"/>
      <c r="BC1962" s="132"/>
      <c r="BD1962" s="132"/>
      <c r="BE1962" s="132"/>
      <c r="BF1962" s="132"/>
      <c r="BG1962" s="132"/>
      <c r="BH1962" s="132"/>
      <c r="BI1962" s="132"/>
      <c r="BJ1962" s="132"/>
      <c r="BK1962" s="132"/>
      <c r="BL1962" s="132"/>
      <c r="BM1962" s="132"/>
      <c r="BN1962" s="132"/>
      <c r="BO1962" s="132"/>
    </row>
    <row r="1963" spans="1:67" s="269" customFormat="1" ht="21" customHeight="1" x14ac:dyDescent="0.2">
      <c r="A1963" s="173"/>
      <c r="B1963" s="288"/>
      <c r="C1963" s="289"/>
      <c r="D1963" s="176"/>
      <c r="E1963" s="176"/>
      <c r="F1963" s="176"/>
      <c r="G1963" s="176"/>
      <c r="H1963" s="176"/>
      <c r="I1963" s="177"/>
      <c r="J1963" s="300"/>
      <c r="K1963" s="196">
        <f>SUM(K1961:K1962)</f>
        <v>7700</v>
      </c>
      <c r="L1963" s="181"/>
      <c r="M1963" s="181"/>
      <c r="N1963" s="132"/>
      <c r="O1963" s="132"/>
      <c r="P1963" s="132"/>
      <c r="Q1963" s="132"/>
      <c r="R1963" s="132"/>
      <c r="S1963" s="132"/>
      <c r="T1963" s="132"/>
      <c r="U1963" s="132"/>
      <c r="V1963" s="132"/>
      <c r="W1963" s="132"/>
      <c r="X1963" s="132"/>
      <c r="Y1963" s="132"/>
      <c r="Z1963" s="132"/>
      <c r="AA1963" s="132"/>
      <c r="AB1963" s="132"/>
      <c r="AC1963" s="132"/>
      <c r="AD1963" s="132"/>
      <c r="AE1963" s="132"/>
      <c r="AF1963" s="132"/>
      <c r="AG1963" s="132"/>
      <c r="AH1963" s="132"/>
      <c r="AI1963" s="132"/>
      <c r="AJ1963" s="132"/>
      <c r="AK1963" s="132"/>
      <c r="AL1963" s="132"/>
      <c r="AM1963" s="132"/>
      <c r="AN1963" s="132"/>
      <c r="AO1963" s="132"/>
      <c r="AP1963" s="132"/>
      <c r="AQ1963" s="132"/>
      <c r="AR1963" s="132"/>
      <c r="AS1963" s="132"/>
      <c r="AT1963" s="132"/>
      <c r="AU1963" s="132"/>
      <c r="AV1963" s="132"/>
      <c r="AW1963" s="132"/>
      <c r="AX1963" s="132"/>
      <c r="AY1963" s="132"/>
      <c r="AZ1963" s="132"/>
      <c r="BA1963" s="132"/>
      <c r="BB1963" s="132"/>
      <c r="BC1963" s="132"/>
      <c r="BD1963" s="132"/>
      <c r="BE1963" s="132"/>
      <c r="BF1963" s="132"/>
      <c r="BG1963" s="132"/>
      <c r="BH1963" s="132"/>
      <c r="BI1963" s="132"/>
      <c r="BJ1963" s="132"/>
      <c r="BK1963" s="132"/>
      <c r="BL1963" s="132"/>
      <c r="BM1963" s="132"/>
      <c r="BN1963" s="132"/>
      <c r="BO1963" s="132"/>
    </row>
    <row r="1964" spans="1:67" s="269" customFormat="1" ht="21" customHeight="1" x14ac:dyDescent="0.2">
      <c r="A1964" s="163">
        <v>469</v>
      </c>
      <c r="B1964" s="293" t="s">
        <v>2533</v>
      </c>
      <c r="C1964" s="294"/>
      <c r="D1964" s="166" t="s">
        <v>107</v>
      </c>
      <c r="E1964" s="166"/>
      <c r="F1964" s="166"/>
      <c r="G1964" s="166"/>
      <c r="H1964" s="248"/>
      <c r="I1964" s="217" t="s">
        <v>2534</v>
      </c>
      <c r="J1964" s="267" t="s">
        <v>681</v>
      </c>
      <c r="K1964" s="334">
        <f>7700*60%</f>
        <v>4620</v>
      </c>
      <c r="L1964" s="195" t="s">
        <v>111</v>
      </c>
      <c r="M1964" s="425" t="s">
        <v>2535</v>
      </c>
      <c r="N1964" s="132"/>
      <c r="O1964" s="132"/>
      <c r="P1964" s="132"/>
      <c r="Q1964" s="132"/>
      <c r="R1964" s="132"/>
      <c r="S1964" s="132"/>
      <c r="T1964" s="132"/>
      <c r="U1964" s="132"/>
      <c r="V1964" s="132"/>
      <c r="W1964" s="132"/>
      <c r="X1964" s="132"/>
      <c r="Y1964" s="132"/>
      <c r="Z1964" s="132"/>
      <c r="AA1964" s="132"/>
      <c r="AB1964" s="132"/>
      <c r="AC1964" s="132"/>
      <c r="AD1964" s="132"/>
      <c r="AE1964" s="132"/>
      <c r="AF1964" s="132"/>
      <c r="AG1964" s="132"/>
      <c r="AH1964" s="132"/>
      <c r="AI1964" s="132"/>
      <c r="AJ1964" s="132"/>
      <c r="AK1964" s="132"/>
      <c r="AL1964" s="132"/>
      <c r="AM1964" s="132"/>
      <c r="AN1964" s="132"/>
      <c r="AO1964" s="132"/>
      <c r="AP1964" s="132"/>
      <c r="AQ1964" s="132"/>
      <c r="AR1964" s="132"/>
      <c r="AS1964" s="132"/>
      <c r="AT1964" s="132"/>
      <c r="AU1964" s="132"/>
      <c r="AV1964" s="132"/>
      <c r="AW1964" s="132"/>
      <c r="AX1964" s="132"/>
      <c r="AY1964" s="132"/>
      <c r="AZ1964" s="132"/>
      <c r="BA1964" s="132"/>
      <c r="BB1964" s="132"/>
    </row>
    <row r="1965" spans="1:67" s="269" customFormat="1" ht="21" customHeight="1" x14ac:dyDescent="0.2">
      <c r="A1965" s="173"/>
      <c r="B1965" s="288"/>
      <c r="C1965" s="289"/>
      <c r="D1965" s="176"/>
      <c r="E1965" s="176"/>
      <c r="F1965" s="176"/>
      <c r="G1965" s="176"/>
      <c r="H1965" s="250"/>
      <c r="I1965" s="184" t="s">
        <v>2536</v>
      </c>
      <c r="J1965" s="272" t="s">
        <v>681</v>
      </c>
      <c r="K1965" s="296">
        <f>7700*40%</f>
        <v>3080</v>
      </c>
      <c r="L1965" s="197"/>
      <c r="M1965" s="426"/>
      <c r="N1965" s="132"/>
      <c r="O1965" s="132"/>
      <c r="P1965" s="132"/>
      <c r="Q1965" s="132"/>
      <c r="R1965" s="132"/>
      <c r="S1965" s="132"/>
      <c r="T1965" s="132"/>
      <c r="U1965" s="132"/>
      <c r="V1965" s="132"/>
      <c r="W1965" s="132"/>
      <c r="X1965" s="132"/>
      <c r="Y1965" s="132"/>
      <c r="Z1965" s="132"/>
      <c r="AA1965" s="132"/>
      <c r="AB1965" s="132"/>
      <c r="AC1965" s="132"/>
      <c r="AD1965" s="132"/>
      <c r="AE1965" s="132"/>
      <c r="AF1965" s="132"/>
      <c r="AG1965" s="132"/>
      <c r="AH1965" s="132"/>
      <c r="AI1965" s="132"/>
      <c r="AJ1965" s="132"/>
      <c r="AK1965" s="132"/>
      <c r="AL1965" s="132"/>
      <c r="AM1965" s="132"/>
      <c r="AN1965" s="132"/>
      <c r="AO1965" s="132"/>
      <c r="AP1965" s="132"/>
      <c r="AQ1965" s="132"/>
      <c r="AR1965" s="132"/>
      <c r="AS1965" s="132"/>
      <c r="AT1965" s="132"/>
      <c r="AU1965" s="132"/>
      <c r="AV1965" s="132"/>
      <c r="AW1965" s="132"/>
      <c r="AX1965" s="132"/>
      <c r="AY1965" s="132"/>
      <c r="AZ1965" s="132"/>
      <c r="BA1965" s="132"/>
      <c r="BB1965" s="132"/>
    </row>
    <row r="1966" spans="1:67" s="269" customFormat="1" ht="21" customHeight="1" x14ac:dyDescent="0.2">
      <c r="A1966" s="185"/>
      <c r="B1966" s="298"/>
      <c r="C1966" s="299"/>
      <c r="D1966" s="188"/>
      <c r="E1966" s="188"/>
      <c r="F1966" s="188"/>
      <c r="G1966" s="188"/>
      <c r="H1966" s="251"/>
      <c r="I1966" s="202"/>
      <c r="J1966" s="275"/>
      <c r="K1966" s="477">
        <f>SUM(K1964:K1965)</f>
        <v>7700</v>
      </c>
      <c r="L1966" s="205"/>
      <c r="M1966" s="427"/>
      <c r="N1966" s="132"/>
      <c r="O1966" s="132"/>
      <c r="P1966" s="132"/>
      <c r="Q1966" s="132"/>
      <c r="R1966" s="132"/>
      <c r="S1966" s="132"/>
      <c r="T1966" s="132"/>
      <c r="U1966" s="132"/>
      <c r="V1966" s="132"/>
      <c r="W1966" s="132"/>
      <c r="X1966" s="132"/>
      <c r="Y1966" s="132"/>
      <c r="Z1966" s="132"/>
      <c r="AA1966" s="132"/>
      <c r="AB1966" s="132"/>
      <c r="AC1966" s="132"/>
      <c r="AD1966" s="132"/>
      <c r="AE1966" s="132"/>
      <c r="AF1966" s="132"/>
      <c r="AG1966" s="132"/>
      <c r="AH1966" s="132"/>
      <c r="AI1966" s="132"/>
      <c r="AJ1966" s="132"/>
      <c r="AK1966" s="132"/>
      <c r="AL1966" s="132"/>
      <c r="AM1966" s="132"/>
      <c r="AN1966" s="132"/>
      <c r="AO1966" s="132"/>
      <c r="AP1966" s="132"/>
      <c r="AQ1966" s="132"/>
      <c r="AR1966" s="132"/>
      <c r="AS1966" s="132"/>
      <c r="AT1966" s="132"/>
      <c r="AU1966" s="132"/>
      <c r="AV1966" s="132"/>
      <c r="AW1966" s="132"/>
      <c r="AX1966" s="132"/>
      <c r="AY1966" s="132"/>
      <c r="AZ1966" s="132"/>
      <c r="BA1966" s="132"/>
      <c r="BB1966" s="132"/>
    </row>
    <row r="1967" spans="1:67" x14ac:dyDescent="0.2">
      <c r="A1967" s="173">
        <v>470</v>
      </c>
      <c r="B1967" s="174" t="s">
        <v>2537</v>
      </c>
      <c r="C1967" s="175"/>
      <c r="D1967" s="176" t="s">
        <v>163</v>
      </c>
      <c r="E1967" s="176"/>
      <c r="F1967" s="176"/>
      <c r="G1967" s="176"/>
      <c r="H1967" s="250"/>
      <c r="I1967" s="276" t="s">
        <v>2538</v>
      </c>
      <c r="J1967" s="277" t="s">
        <v>304</v>
      </c>
      <c r="K1967" s="278">
        <f>100500*70%</f>
        <v>70350</v>
      </c>
      <c r="L1967" s="197" t="s">
        <v>166</v>
      </c>
      <c r="M1967" s="181" t="s">
        <v>2539</v>
      </c>
    </row>
    <row r="1968" spans="1:67" x14ac:dyDescent="0.2">
      <c r="A1968" s="173"/>
      <c r="B1968" s="174"/>
      <c r="C1968" s="175"/>
      <c r="D1968" s="176"/>
      <c r="E1968" s="176"/>
      <c r="F1968" s="176"/>
      <c r="G1968" s="176"/>
      <c r="H1968" s="250"/>
      <c r="I1968" s="184" t="s">
        <v>2540</v>
      </c>
      <c r="J1968" s="272" t="s">
        <v>304</v>
      </c>
      <c r="K1968" s="214">
        <f t="shared" ref="K1968:K1973" si="45">100500*5%</f>
        <v>5025</v>
      </c>
      <c r="L1968" s="197"/>
      <c r="M1968" s="181"/>
    </row>
    <row r="1969" spans="1:14" x14ac:dyDescent="0.2">
      <c r="A1969" s="173"/>
      <c r="B1969" s="174"/>
      <c r="C1969" s="175"/>
      <c r="D1969" s="176"/>
      <c r="E1969" s="176"/>
      <c r="F1969" s="176"/>
      <c r="G1969" s="176"/>
      <c r="H1969" s="250"/>
      <c r="I1969" s="184" t="s">
        <v>2541</v>
      </c>
      <c r="J1969" s="272" t="s">
        <v>304</v>
      </c>
      <c r="K1969" s="214">
        <f t="shared" si="45"/>
        <v>5025</v>
      </c>
      <c r="L1969" s="197"/>
      <c r="M1969" s="181"/>
    </row>
    <row r="1970" spans="1:14" x14ac:dyDescent="0.2">
      <c r="A1970" s="173"/>
      <c r="B1970" s="174"/>
      <c r="C1970" s="175"/>
      <c r="D1970" s="176"/>
      <c r="E1970" s="176"/>
      <c r="F1970" s="176"/>
      <c r="G1970" s="176"/>
      <c r="H1970" s="250"/>
      <c r="I1970" s="184" t="s">
        <v>2542</v>
      </c>
      <c r="J1970" s="272" t="s">
        <v>304</v>
      </c>
      <c r="K1970" s="214">
        <f t="shared" si="45"/>
        <v>5025</v>
      </c>
      <c r="L1970" s="197"/>
      <c r="M1970" s="181"/>
    </row>
    <row r="1971" spans="1:14" x14ac:dyDescent="0.2">
      <c r="A1971" s="173"/>
      <c r="B1971" s="174"/>
      <c r="C1971" s="175"/>
      <c r="D1971" s="176"/>
      <c r="E1971" s="176"/>
      <c r="F1971" s="176"/>
      <c r="G1971" s="176"/>
      <c r="H1971" s="250"/>
      <c r="I1971" s="184" t="s">
        <v>2543</v>
      </c>
      <c r="J1971" s="272" t="s">
        <v>304</v>
      </c>
      <c r="K1971" s="214">
        <f t="shared" si="45"/>
        <v>5025</v>
      </c>
      <c r="L1971" s="197"/>
      <c r="M1971" s="181"/>
    </row>
    <row r="1972" spans="1:14" x14ac:dyDescent="0.2">
      <c r="A1972" s="173"/>
      <c r="B1972" s="174"/>
      <c r="C1972" s="175"/>
      <c r="D1972" s="176"/>
      <c r="E1972" s="176"/>
      <c r="F1972" s="176"/>
      <c r="G1972" s="176"/>
      <c r="H1972" s="250"/>
      <c r="I1972" s="184" t="s">
        <v>2544</v>
      </c>
      <c r="J1972" s="272" t="s">
        <v>304</v>
      </c>
      <c r="K1972" s="214">
        <f t="shared" si="45"/>
        <v>5025</v>
      </c>
      <c r="L1972" s="197"/>
      <c r="M1972" s="181"/>
    </row>
    <row r="1973" spans="1:14" x14ac:dyDescent="0.2">
      <c r="A1973" s="173"/>
      <c r="B1973" s="174"/>
      <c r="C1973" s="175"/>
      <c r="D1973" s="176"/>
      <c r="E1973" s="176"/>
      <c r="F1973" s="176"/>
      <c r="G1973" s="176"/>
      <c r="H1973" s="250"/>
      <c r="I1973" s="184" t="s">
        <v>2545</v>
      </c>
      <c r="J1973" s="272" t="s">
        <v>304</v>
      </c>
      <c r="K1973" s="214">
        <f t="shared" si="45"/>
        <v>5025</v>
      </c>
      <c r="L1973" s="197"/>
      <c r="M1973" s="181"/>
    </row>
    <row r="1974" spans="1:14" x14ac:dyDescent="0.2">
      <c r="A1974" s="185"/>
      <c r="B1974" s="186"/>
      <c r="C1974" s="187"/>
      <c r="D1974" s="188"/>
      <c r="E1974" s="188"/>
      <c r="F1974" s="188"/>
      <c r="G1974" s="188"/>
      <c r="H1974" s="251"/>
      <c r="I1974" s="177"/>
      <c r="J1974" s="203"/>
      <c r="K1974" s="196">
        <f>SUM(K1967:K1973)</f>
        <v>100500</v>
      </c>
      <c r="L1974" s="205"/>
      <c r="M1974" s="193"/>
    </row>
    <row r="1975" spans="1:14" x14ac:dyDescent="0.2">
      <c r="A1975" s="163">
        <v>471</v>
      </c>
      <c r="B1975" s="164" t="s">
        <v>2546</v>
      </c>
      <c r="C1975" s="165"/>
      <c r="D1975" s="166" t="s">
        <v>25</v>
      </c>
      <c r="E1975" s="166"/>
      <c r="F1975" s="166"/>
      <c r="G1975" s="166"/>
      <c r="H1975" s="248"/>
      <c r="I1975" s="217" t="s">
        <v>2547</v>
      </c>
      <c r="J1975" s="277" t="s">
        <v>304</v>
      </c>
      <c r="K1975" s="478">
        <f t="shared" ref="K1975:K1979" si="46">2800000*20%</f>
        <v>560000</v>
      </c>
      <c r="L1975" s="195" t="s">
        <v>1702</v>
      </c>
      <c r="M1975" s="171" t="s">
        <v>2548</v>
      </c>
    </row>
    <row r="1976" spans="1:14" x14ac:dyDescent="0.2">
      <c r="A1976" s="173"/>
      <c r="B1976" s="174"/>
      <c r="C1976" s="175"/>
      <c r="D1976" s="176"/>
      <c r="E1976" s="176"/>
      <c r="F1976" s="176"/>
      <c r="G1976" s="176"/>
      <c r="H1976" s="250"/>
      <c r="I1976" s="184" t="s">
        <v>2549</v>
      </c>
      <c r="J1976" s="272" t="s">
        <v>304</v>
      </c>
      <c r="K1976" s="479">
        <f t="shared" si="46"/>
        <v>560000</v>
      </c>
      <c r="L1976" s="197"/>
      <c r="M1976" s="181"/>
    </row>
    <row r="1977" spans="1:14" x14ac:dyDescent="0.2">
      <c r="A1977" s="173"/>
      <c r="B1977" s="174"/>
      <c r="C1977" s="175"/>
      <c r="D1977" s="176"/>
      <c r="E1977" s="176"/>
      <c r="F1977" s="176"/>
      <c r="G1977" s="176"/>
      <c r="H1977" s="250"/>
      <c r="I1977" s="184" t="s">
        <v>2550</v>
      </c>
      <c r="J1977" s="272" t="s">
        <v>304</v>
      </c>
      <c r="K1977" s="479">
        <f t="shared" si="46"/>
        <v>560000</v>
      </c>
      <c r="L1977" s="197"/>
      <c r="M1977" s="181"/>
    </row>
    <row r="1978" spans="1:14" x14ac:dyDescent="0.2">
      <c r="A1978" s="173"/>
      <c r="B1978" s="174"/>
      <c r="C1978" s="175"/>
      <c r="D1978" s="176"/>
      <c r="E1978" s="176"/>
      <c r="F1978" s="176"/>
      <c r="G1978" s="176"/>
      <c r="H1978" s="250"/>
      <c r="I1978" s="184" t="s">
        <v>2551</v>
      </c>
      <c r="J1978" s="272" t="s">
        <v>304</v>
      </c>
      <c r="K1978" s="479">
        <f t="shared" si="46"/>
        <v>560000</v>
      </c>
      <c r="L1978" s="197"/>
      <c r="M1978" s="181"/>
    </row>
    <row r="1979" spans="1:14" x14ac:dyDescent="0.2">
      <c r="A1979" s="173"/>
      <c r="B1979" s="174"/>
      <c r="C1979" s="175"/>
      <c r="D1979" s="176"/>
      <c r="E1979" s="176"/>
      <c r="F1979" s="176"/>
      <c r="G1979" s="176"/>
      <c r="H1979" s="250"/>
      <c r="I1979" s="184" t="s">
        <v>2552</v>
      </c>
      <c r="J1979" s="272" t="s">
        <v>304</v>
      </c>
      <c r="K1979" s="479">
        <f t="shared" si="46"/>
        <v>560000</v>
      </c>
      <c r="L1979" s="197"/>
      <c r="M1979" s="181"/>
    </row>
    <row r="1980" spans="1:14" x14ac:dyDescent="0.2">
      <c r="A1980" s="185"/>
      <c r="B1980" s="186"/>
      <c r="C1980" s="187"/>
      <c r="D1980" s="188"/>
      <c r="E1980" s="188"/>
      <c r="F1980" s="188"/>
      <c r="G1980" s="188"/>
      <c r="H1980" s="251"/>
      <c r="I1980" s="202"/>
      <c r="J1980" s="300"/>
      <c r="K1980" s="196">
        <f>SUM(K1975:K1979)</f>
        <v>2800000</v>
      </c>
      <c r="L1980" s="205"/>
      <c r="M1980" s="193"/>
    </row>
    <row r="1981" spans="1:14" ht="69.75" customHeight="1" x14ac:dyDescent="0.2">
      <c r="A1981" s="232">
        <v>472</v>
      </c>
      <c r="B1981" s="255" t="s">
        <v>2553</v>
      </c>
      <c r="C1981" s="256" t="s">
        <v>2553</v>
      </c>
      <c r="D1981" s="257" t="s">
        <v>107</v>
      </c>
      <c r="E1981" s="258"/>
      <c r="F1981" s="258"/>
      <c r="G1981" s="258"/>
      <c r="H1981" s="259"/>
      <c r="I1981" s="189" t="s">
        <v>2554</v>
      </c>
      <c r="J1981" s="302" t="s">
        <v>304</v>
      </c>
      <c r="K1981" s="260">
        <v>11000</v>
      </c>
      <c r="L1981" s="261" t="s">
        <v>111</v>
      </c>
      <c r="M1981" s="189" t="s">
        <v>2555</v>
      </c>
    </row>
    <row r="1982" spans="1:14" ht="48" x14ac:dyDescent="0.2">
      <c r="A1982" s="163">
        <v>473</v>
      </c>
      <c r="B1982" s="164" t="s">
        <v>2556</v>
      </c>
      <c r="C1982" s="165"/>
      <c r="D1982" s="166" t="s">
        <v>107</v>
      </c>
      <c r="E1982" s="166"/>
      <c r="F1982" s="166"/>
      <c r="G1982" s="166"/>
      <c r="H1982" s="248" t="s">
        <v>108</v>
      </c>
      <c r="I1982" s="217" t="s">
        <v>2557</v>
      </c>
      <c r="J1982" s="267" t="s">
        <v>1398</v>
      </c>
      <c r="K1982" s="268">
        <f>11500*40%</f>
        <v>4600</v>
      </c>
      <c r="L1982" s="195" t="s">
        <v>111</v>
      </c>
      <c r="M1982" s="171" t="s">
        <v>2558</v>
      </c>
      <c r="N1982" s="172"/>
    </row>
    <row r="1983" spans="1:14" ht="48" x14ac:dyDescent="0.2">
      <c r="A1983" s="173"/>
      <c r="B1983" s="174"/>
      <c r="C1983" s="175"/>
      <c r="D1983" s="176"/>
      <c r="E1983" s="176"/>
      <c r="F1983" s="176"/>
      <c r="G1983" s="176"/>
      <c r="H1983" s="250"/>
      <c r="I1983" s="184" t="s">
        <v>2559</v>
      </c>
      <c r="J1983" s="272" t="s">
        <v>1398</v>
      </c>
      <c r="K1983" s="214">
        <f>11500*30%</f>
        <v>3450</v>
      </c>
      <c r="L1983" s="197"/>
      <c r="M1983" s="181"/>
    </row>
    <row r="1984" spans="1:14" ht="48" x14ac:dyDescent="0.2">
      <c r="A1984" s="173"/>
      <c r="B1984" s="174"/>
      <c r="C1984" s="175"/>
      <c r="D1984" s="176"/>
      <c r="E1984" s="176"/>
      <c r="F1984" s="176"/>
      <c r="G1984" s="176"/>
      <c r="H1984" s="250"/>
      <c r="I1984" s="184" t="s">
        <v>2560</v>
      </c>
      <c r="J1984" s="272" t="s">
        <v>1398</v>
      </c>
      <c r="K1984" s="214">
        <f>11500*20%</f>
        <v>2300</v>
      </c>
      <c r="L1984" s="197"/>
      <c r="M1984" s="181"/>
    </row>
    <row r="1985" spans="1:13" ht="48" x14ac:dyDescent="0.2">
      <c r="A1985" s="173"/>
      <c r="B1985" s="174"/>
      <c r="C1985" s="175"/>
      <c r="D1985" s="176"/>
      <c r="E1985" s="176"/>
      <c r="F1985" s="176"/>
      <c r="G1985" s="176"/>
      <c r="H1985" s="250"/>
      <c r="I1985" s="184" t="s">
        <v>2561</v>
      </c>
      <c r="J1985" s="272" t="s">
        <v>1398</v>
      </c>
      <c r="K1985" s="214">
        <f>11500*10%</f>
        <v>1150</v>
      </c>
      <c r="L1985" s="197"/>
      <c r="M1985" s="181"/>
    </row>
    <row r="1986" spans="1:13" x14ac:dyDescent="0.2">
      <c r="A1986" s="185"/>
      <c r="B1986" s="186"/>
      <c r="C1986" s="187"/>
      <c r="D1986" s="188"/>
      <c r="E1986" s="188"/>
      <c r="F1986" s="188"/>
      <c r="G1986" s="188"/>
      <c r="H1986" s="251"/>
      <c r="I1986" s="202"/>
      <c r="J1986" s="275"/>
      <c r="K1986" s="247">
        <f>SUM(K1982:K1985)</f>
        <v>11500</v>
      </c>
      <c r="L1986" s="205"/>
      <c r="M1986" s="193"/>
    </row>
    <row r="1987" spans="1:13" ht="48" x14ac:dyDescent="0.2">
      <c r="A1987" s="163">
        <v>474</v>
      </c>
      <c r="B1987" s="164" t="s">
        <v>2562</v>
      </c>
      <c r="C1987" s="165"/>
      <c r="D1987" s="166" t="s">
        <v>107</v>
      </c>
      <c r="E1987" s="166"/>
      <c r="F1987" s="166"/>
      <c r="G1987" s="166"/>
      <c r="H1987" s="248"/>
      <c r="I1987" s="276" t="s">
        <v>2563</v>
      </c>
      <c r="J1987" s="277" t="s">
        <v>1398</v>
      </c>
      <c r="K1987" s="278">
        <f>5800*50%</f>
        <v>2900</v>
      </c>
      <c r="L1987" s="195" t="s">
        <v>111</v>
      </c>
      <c r="M1987" s="171" t="s">
        <v>2564</v>
      </c>
    </row>
    <row r="1988" spans="1:13" ht="48" x14ac:dyDescent="0.2">
      <c r="A1988" s="173"/>
      <c r="B1988" s="174"/>
      <c r="C1988" s="175"/>
      <c r="D1988" s="176"/>
      <c r="E1988" s="176"/>
      <c r="F1988" s="176"/>
      <c r="G1988" s="176"/>
      <c r="H1988" s="250"/>
      <c r="I1988" s="184" t="s">
        <v>2559</v>
      </c>
      <c r="J1988" s="272" t="s">
        <v>1398</v>
      </c>
      <c r="K1988" s="214">
        <f>5800*30%</f>
        <v>1740</v>
      </c>
      <c r="L1988" s="197"/>
      <c r="M1988" s="181"/>
    </row>
    <row r="1989" spans="1:13" ht="48" x14ac:dyDescent="0.2">
      <c r="A1989" s="173"/>
      <c r="B1989" s="174"/>
      <c r="C1989" s="175"/>
      <c r="D1989" s="176"/>
      <c r="E1989" s="176"/>
      <c r="F1989" s="176"/>
      <c r="G1989" s="176"/>
      <c r="H1989" s="250"/>
      <c r="I1989" s="184" t="s">
        <v>2560</v>
      </c>
      <c r="J1989" s="272" t="s">
        <v>1398</v>
      </c>
      <c r="K1989" s="214">
        <f>5800*20%</f>
        <v>1160</v>
      </c>
      <c r="L1989" s="197"/>
      <c r="M1989" s="181"/>
    </row>
    <row r="1990" spans="1:13" x14ac:dyDescent="0.2">
      <c r="A1990" s="185"/>
      <c r="B1990" s="186"/>
      <c r="C1990" s="187"/>
      <c r="D1990" s="188"/>
      <c r="E1990" s="188"/>
      <c r="F1990" s="188"/>
      <c r="G1990" s="188"/>
      <c r="H1990" s="251"/>
      <c r="I1990" s="177"/>
      <c r="J1990" s="300"/>
      <c r="K1990" s="196">
        <f>SUM(K1987:K1989)</f>
        <v>5800</v>
      </c>
      <c r="L1990" s="205"/>
      <c r="M1990" s="193"/>
    </row>
    <row r="1991" spans="1:13" ht="48" x14ac:dyDescent="0.2">
      <c r="A1991" s="163">
        <v>475</v>
      </c>
      <c r="B1991" s="164" t="s">
        <v>2565</v>
      </c>
      <c r="C1991" s="165"/>
      <c r="D1991" s="166" t="s">
        <v>107</v>
      </c>
      <c r="E1991" s="166"/>
      <c r="F1991" s="166"/>
      <c r="G1991" s="166"/>
      <c r="H1991" s="248"/>
      <c r="I1991" s="217" t="s">
        <v>2566</v>
      </c>
      <c r="J1991" s="267" t="s">
        <v>1398</v>
      </c>
      <c r="K1991" s="268">
        <f>5800*50%</f>
        <v>2900</v>
      </c>
      <c r="L1991" s="195" t="s">
        <v>111</v>
      </c>
      <c r="M1991" s="171" t="s">
        <v>2567</v>
      </c>
    </row>
    <row r="1992" spans="1:13" ht="48" x14ac:dyDescent="0.2">
      <c r="A1992" s="173"/>
      <c r="B1992" s="174"/>
      <c r="C1992" s="175"/>
      <c r="D1992" s="176"/>
      <c r="E1992" s="176"/>
      <c r="F1992" s="176"/>
      <c r="G1992" s="176"/>
      <c r="H1992" s="250"/>
      <c r="I1992" s="184" t="s">
        <v>2559</v>
      </c>
      <c r="J1992" s="272" t="s">
        <v>1398</v>
      </c>
      <c r="K1992" s="214">
        <f>5800*30%</f>
        <v>1740</v>
      </c>
      <c r="L1992" s="197"/>
      <c r="M1992" s="181"/>
    </row>
    <row r="1993" spans="1:13" ht="48" x14ac:dyDescent="0.2">
      <c r="A1993" s="173"/>
      <c r="B1993" s="174"/>
      <c r="C1993" s="175"/>
      <c r="D1993" s="176"/>
      <c r="E1993" s="176"/>
      <c r="F1993" s="176"/>
      <c r="G1993" s="176"/>
      <c r="H1993" s="250"/>
      <c r="I1993" s="184" t="s">
        <v>2568</v>
      </c>
      <c r="J1993" s="272" t="s">
        <v>1398</v>
      </c>
      <c r="K1993" s="214">
        <f>5800*5%</f>
        <v>290</v>
      </c>
      <c r="L1993" s="197"/>
      <c r="M1993" s="181"/>
    </row>
    <row r="1994" spans="1:13" ht="48" x14ac:dyDescent="0.2">
      <c r="A1994" s="173"/>
      <c r="B1994" s="174"/>
      <c r="C1994" s="175"/>
      <c r="D1994" s="176"/>
      <c r="E1994" s="176"/>
      <c r="F1994" s="176"/>
      <c r="G1994" s="176"/>
      <c r="H1994" s="250"/>
      <c r="I1994" s="184" t="s">
        <v>2569</v>
      </c>
      <c r="J1994" s="272" t="s">
        <v>1398</v>
      </c>
      <c r="K1994" s="214">
        <f>5800*15%</f>
        <v>870</v>
      </c>
      <c r="L1994" s="197"/>
      <c r="M1994" s="181"/>
    </row>
    <row r="1995" spans="1:13" x14ac:dyDescent="0.2">
      <c r="A1995" s="185"/>
      <c r="B1995" s="186"/>
      <c r="C1995" s="187"/>
      <c r="D1995" s="188"/>
      <c r="E1995" s="188"/>
      <c r="F1995" s="188"/>
      <c r="G1995" s="188"/>
      <c r="H1995" s="251"/>
      <c r="I1995" s="202"/>
      <c r="J1995" s="275"/>
      <c r="K1995" s="247">
        <f>SUM(K1991:K1994)</f>
        <v>5800</v>
      </c>
      <c r="L1995" s="205"/>
      <c r="M1995" s="193"/>
    </row>
    <row r="1996" spans="1:13" x14ac:dyDescent="0.2">
      <c r="A1996" s="163">
        <v>476</v>
      </c>
      <c r="B1996" s="164" t="s">
        <v>2570</v>
      </c>
      <c r="C1996" s="165"/>
      <c r="D1996" s="166" t="s">
        <v>107</v>
      </c>
      <c r="E1996" s="166"/>
      <c r="F1996" s="166"/>
      <c r="G1996" s="166"/>
      <c r="H1996" s="248"/>
      <c r="I1996" s="276" t="s">
        <v>2571</v>
      </c>
      <c r="J1996" s="277" t="s">
        <v>2572</v>
      </c>
      <c r="K1996" s="278">
        <f>3000*80%</f>
        <v>2400</v>
      </c>
      <c r="L1996" s="195" t="s">
        <v>111</v>
      </c>
      <c r="M1996" s="171" t="s">
        <v>2573</v>
      </c>
    </row>
    <row r="1997" spans="1:13" x14ac:dyDescent="0.2">
      <c r="A1997" s="173"/>
      <c r="B1997" s="174"/>
      <c r="C1997" s="175"/>
      <c r="D1997" s="176"/>
      <c r="E1997" s="176"/>
      <c r="F1997" s="176"/>
      <c r="G1997" s="176"/>
      <c r="H1997" s="250"/>
      <c r="I1997" s="184" t="s">
        <v>2574</v>
      </c>
      <c r="J1997" s="272" t="s">
        <v>2572</v>
      </c>
      <c r="K1997" s="214">
        <f>3000*5%</f>
        <v>150</v>
      </c>
      <c r="L1997" s="197"/>
      <c r="M1997" s="181"/>
    </row>
    <row r="1998" spans="1:13" x14ac:dyDescent="0.2">
      <c r="A1998" s="173"/>
      <c r="B1998" s="174"/>
      <c r="C1998" s="175"/>
      <c r="D1998" s="176"/>
      <c r="E1998" s="176"/>
      <c r="F1998" s="176"/>
      <c r="G1998" s="176"/>
      <c r="H1998" s="250"/>
      <c r="I1998" s="184" t="s">
        <v>2575</v>
      </c>
      <c r="J1998" s="272" t="s">
        <v>2572</v>
      </c>
      <c r="K1998" s="214">
        <f>3000*5%</f>
        <v>150</v>
      </c>
      <c r="L1998" s="197"/>
      <c r="M1998" s="181"/>
    </row>
    <row r="1999" spans="1:13" x14ac:dyDescent="0.2">
      <c r="A1999" s="173"/>
      <c r="B1999" s="174"/>
      <c r="C1999" s="175"/>
      <c r="D1999" s="176"/>
      <c r="E1999" s="176"/>
      <c r="F1999" s="176"/>
      <c r="G1999" s="176"/>
      <c r="H1999" s="250"/>
      <c r="I1999" s="184" t="s">
        <v>2576</v>
      </c>
      <c r="J1999" s="272" t="s">
        <v>2572</v>
      </c>
      <c r="K1999" s="214">
        <f>3000*5%</f>
        <v>150</v>
      </c>
      <c r="L1999" s="197"/>
      <c r="M1999" s="181"/>
    </row>
    <row r="2000" spans="1:13" x14ac:dyDescent="0.2">
      <c r="A2000" s="173"/>
      <c r="B2000" s="174"/>
      <c r="C2000" s="175"/>
      <c r="D2000" s="176"/>
      <c r="E2000" s="176"/>
      <c r="F2000" s="176"/>
      <c r="G2000" s="176"/>
      <c r="H2000" s="250"/>
      <c r="I2000" s="184" t="s">
        <v>2577</v>
      </c>
      <c r="J2000" s="272" t="s">
        <v>2572</v>
      </c>
      <c r="K2000" s="214">
        <f>3000*5%</f>
        <v>150</v>
      </c>
      <c r="L2000" s="197"/>
      <c r="M2000" s="181"/>
    </row>
    <row r="2001" spans="1:13" x14ac:dyDescent="0.2">
      <c r="A2001" s="185"/>
      <c r="B2001" s="186"/>
      <c r="C2001" s="187"/>
      <c r="D2001" s="188"/>
      <c r="E2001" s="188"/>
      <c r="F2001" s="188"/>
      <c r="G2001" s="188"/>
      <c r="H2001" s="251"/>
      <c r="I2001" s="177"/>
      <c r="J2001" s="300"/>
      <c r="K2001" s="196">
        <f>SUM(K1996:K2000)</f>
        <v>3000</v>
      </c>
      <c r="L2001" s="205"/>
      <c r="M2001" s="193"/>
    </row>
    <row r="2002" spans="1:13" x14ac:dyDescent="0.2">
      <c r="A2002" s="163">
        <v>477</v>
      </c>
      <c r="B2002" s="164" t="s">
        <v>2578</v>
      </c>
      <c r="C2002" s="165"/>
      <c r="D2002" s="166" t="s">
        <v>107</v>
      </c>
      <c r="E2002" s="166"/>
      <c r="F2002" s="166"/>
      <c r="G2002" s="166"/>
      <c r="H2002" s="248" t="s">
        <v>983</v>
      </c>
      <c r="I2002" s="217" t="s">
        <v>2579</v>
      </c>
      <c r="J2002" s="267" t="s">
        <v>1950</v>
      </c>
      <c r="K2002" s="268">
        <f>5000*80%</f>
        <v>4000</v>
      </c>
      <c r="L2002" s="195" t="s">
        <v>111</v>
      </c>
      <c r="M2002" s="171" t="s">
        <v>2580</v>
      </c>
    </row>
    <row r="2003" spans="1:13" x14ac:dyDescent="0.2">
      <c r="A2003" s="173"/>
      <c r="B2003" s="174"/>
      <c r="C2003" s="175"/>
      <c r="D2003" s="176"/>
      <c r="E2003" s="176"/>
      <c r="F2003" s="176"/>
      <c r="G2003" s="176"/>
      <c r="H2003" s="250"/>
      <c r="I2003" s="184" t="s">
        <v>2581</v>
      </c>
      <c r="J2003" s="272" t="s">
        <v>1950</v>
      </c>
      <c r="K2003" s="214">
        <f>5000*5%</f>
        <v>250</v>
      </c>
      <c r="L2003" s="197"/>
      <c r="M2003" s="181"/>
    </row>
    <row r="2004" spans="1:13" x14ac:dyDescent="0.2">
      <c r="A2004" s="173"/>
      <c r="B2004" s="174"/>
      <c r="C2004" s="175"/>
      <c r="D2004" s="176"/>
      <c r="E2004" s="176"/>
      <c r="F2004" s="176"/>
      <c r="G2004" s="176"/>
      <c r="H2004" s="250"/>
      <c r="I2004" s="184" t="s">
        <v>2582</v>
      </c>
      <c r="J2004" s="272" t="s">
        <v>1950</v>
      </c>
      <c r="K2004" s="214">
        <f>5000*5%</f>
        <v>250</v>
      </c>
      <c r="L2004" s="197"/>
      <c r="M2004" s="181"/>
    </row>
    <row r="2005" spans="1:13" x14ac:dyDescent="0.2">
      <c r="A2005" s="173"/>
      <c r="B2005" s="174"/>
      <c r="C2005" s="175"/>
      <c r="D2005" s="176"/>
      <c r="E2005" s="176"/>
      <c r="F2005" s="176"/>
      <c r="G2005" s="176"/>
      <c r="H2005" s="250"/>
      <c r="I2005" s="184" t="s">
        <v>2583</v>
      </c>
      <c r="J2005" s="272" t="s">
        <v>1950</v>
      </c>
      <c r="K2005" s="214">
        <f>5000*5%</f>
        <v>250</v>
      </c>
      <c r="L2005" s="197"/>
      <c r="M2005" s="181"/>
    </row>
    <row r="2006" spans="1:13" x14ac:dyDescent="0.2">
      <c r="A2006" s="173"/>
      <c r="B2006" s="174"/>
      <c r="C2006" s="175"/>
      <c r="D2006" s="176"/>
      <c r="E2006" s="176"/>
      <c r="F2006" s="176"/>
      <c r="G2006" s="176"/>
      <c r="H2006" s="250"/>
      <c r="I2006" s="184" t="s">
        <v>1949</v>
      </c>
      <c r="J2006" s="272" t="s">
        <v>1950</v>
      </c>
      <c r="K2006" s="214">
        <f>5000*5%</f>
        <v>250</v>
      </c>
      <c r="L2006" s="197"/>
      <c r="M2006" s="181"/>
    </row>
    <row r="2007" spans="1:13" x14ac:dyDescent="0.2">
      <c r="A2007" s="185"/>
      <c r="B2007" s="186"/>
      <c r="C2007" s="187"/>
      <c r="D2007" s="188"/>
      <c r="E2007" s="188"/>
      <c r="F2007" s="188"/>
      <c r="G2007" s="188"/>
      <c r="H2007" s="251"/>
      <c r="I2007" s="202"/>
      <c r="J2007" s="275"/>
      <c r="K2007" s="247">
        <f>SUM(K2002:K2006)</f>
        <v>5000</v>
      </c>
      <c r="L2007" s="205"/>
      <c r="M2007" s="193"/>
    </row>
    <row r="2008" spans="1:13" x14ac:dyDescent="0.2">
      <c r="A2008" s="163">
        <v>478</v>
      </c>
      <c r="B2008" s="164" t="s">
        <v>2584</v>
      </c>
      <c r="C2008" s="165"/>
      <c r="D2008" s="166" t="s">
        <v>107</v>
      </c>
      <c r="E2008" s="166"/>
      <c r="F2008" s="166"/>
      <c r="G2008" s="166"/>
      <c r="H2008" s="248"/>
      <c r="I2008" s="276" t="s">
        <v>2585</v>
      </c>
      <c r="J2008" s="277" t="s">
        <v>1950</v>
      </c>
      <c r="K2008" s="278">
        <f>5000*65%</f>
        <v>3250</v>
      </c>
      <c r="L2008" s="195" t="s">
        <v>111</v>
      </c>
      <c r="M2008" s="171" t="s">
        <v>2586</v>
      </c>
    </row>
    <row r="2009" spans="1:13" x14ac:dyDescent="0.2">
      <c r="A2009" s="173"/>
      <c r="B2009" s="174"/>
      <c r="C2009" s="175"/>
      <c r="D2009" s="176"/>
      <c r="E2009" s="176"/>
      <c r="F2009" s="176"/>
      <c r="G2009" s="176"/>
      <c r="H2009" s="250"/>
      <c r="I2009" s="184" t="s">
        <v>2587</v>
      </c>
      <c r="J2009" s="272" t="s">
        <v>1950</v>
      </c>
      <c r="K2009" s="214">
        <f>5000*20%</f>
        <v>1000</v>
      </c>
      <c r="L2009" s="197"/>
      <c r="M2009" s="181"/>
    </row>
    <row r="2010" spans="1:13" x14ac:dyDescent="0.2">
      <c r="A2010" s="173"/>
      <c r="B2010" s="174"/>
      <c r="C2010" s="175"/>
      <c r="D2010" s="176"/>
      <c r="E2010" s="176"/>
      <c r="F2010" s="176"/>
      <c r="G2010" s="176"/>
      <c r="H2010" s="250"/>
      <c r="I2010" s="184" t="s">
        <v>1949</v>
      </c>
      <c r="J2010" s="272" t="s">
        <v>1950</v>
      </c>
      <c r="K2010" s="214">
        <f>5000*5%</f>
        <v>250</v>
      </c>
      <c r="L2010" s="197"/>
      <c r="M2010" s="181"/>
    </row>
    <row r="2011" spans="1:13" x14ac:dyDescent="0.2">
      <c r="A2011" s="173"/>
      <c r="B2011" s="174"/>
      <c r="C2011" s="175"/>
      <c r="D2011" s="176"/>
      <c r="E2011" s="176"/>
      <c r="F2011" s="176"/>
      <c r="G2011" s="176"/>
      <c r="H2011" s="250"/>
      <c r="I2011" s="184" t="s">
        <v>2581</v>
      </c>
      <c r="J2011" s="272" t="s">
        <v>1950</v>
      </c>
      <c r="K2011" s="214">
        <f>5000*5%</f>
        <v>250</v>
      </c>
      <c r="L2011" s="197"/>
      <c r="M2011" s="181"/>
    </row>
    <row r="2012" spans="1:13" x14ac:dyDescent="0.2">
      <c r="A2012" s="173"/>
      <c r="B2012" s="174"/>
      <c r="C2012" s="175"/>
      <c r="D2012" s="176"/>
      <c r="E2012" s="176"/>
      <c r="F2012" s="176"/>
      <c r="G2012" s="176"/>
      <c r="H2012" s="250"/>
      <c r="I2012" s="184" t="s">
        <v>2583</v>
      </c>
      <c r="J2012" s="272" t="s">
        <v>1950</v>
      </c>
      <c r="K2012" s="214">
        <f>5000*5%</f>
        <v>250</v>
      </c>
      <c r="L2012" s="197"/>
      <c r="M2012" s="181"/>
    </row>
    <row r="2013" spans="1:13" x14ac:dyDescent="0.2">
      <c r="A2013" s="185"/>
      <c r="B2013" s="186"/>
      <c r="C2013" s="187"/>
      <c r="D2013" s="188"/>
      <c r="E2013" s="188"/>
      <c r="F2013" s="188"/>
      <c r="G2013" s="188"/>
      <c r="H2013" s="251"/>
      <c r="I2013" s="177"/>
      <c r="J2013" s="300"/>
      <c r="K2013" s="196">
        <f>SUM(K2008:K2012)</f>
        <v>5000</v>
      </c>
      <c r="L2013" s="205"/>
      <c r="M2013" s="193"/>
    </row>
    <row r="2014" spans="1:13" x14ac:dyDescent="0.2">
      <c r="A2014" s="163">
        <v>479</v>
      </c>
      <c r="B2014" s="164" t="s">
        <v>2588</v>
      </c>
      <c r="C2014" s="165"/>
      <c r="D2014" s="166" t="s">
        <v>107</v>
      </c>
      <c r="E2014" s="166"/>
      <c r="F2014" s="166"/>
      <c r="G2014" s="166"/>
      <c r="H2014" s="248" t="s">
        <v>137</v>
      </c>
      <c r="I2014" s="217" t="s">
        <v>2589</v>
      </c>
      <c r="J2014" s="267" t="s">
        <v>1390</v>
      </c>
      <c r="K2014" s="268">
        <f>8000*30%</f>
        <v>2400</v>
      </c>
      <c r="L2014" s="195" t="s">
        <v>111</v>
      </c>
      <c r="M2014" s="171" t="s">
        <v>2590</v>
      </c>
    </row>
    <row r="2015" spans="1:13" ht="48" x14ac:dyDescent="0.2">
      <c r="A2015" s="173"/>
      <c r="B2015" s="174"/>
      <c r="C2015" s="175"/>
      <c r="D2015" s="176"/>
      <c r="E2015" s="176"/>
      <c r="F2015" s="176"/>
      <c r="G2015" s="176"/>
      <c r="H2015" s="250"/>
      <c r="I2015" s="184" t="s">
        <v>2559</v>
      </c>
      <c r="J2015" s="272" t="s">
        <v>1398</v>
      </c>
      <c r="K2015" s="214">
        <f>8000*30%</f>
        <v>2400</v>
      </c>
      <c r="L2015" s="197"/>
      <c r="M2015" s="181"/>
    </row>
    <row r="2016" spans="1:13" ht="48" x14ac:dyDescent="0.2">
      <c r="A2016" s="173"/>
      <c r="B2016" s="174"/>
      <c r="C2016" s="175"/>
      <c r="D2016" s="176"/>
      <c r="E2016" s="176"/>
      <c r="F2016" s="176"/>
      <c r="G2016" s="176"/>
      <c r="H2016" s="250"/>
      <c r="I2016" s="184" t="s">
        <v>2591</v>
      </c>
      <c r="J2016" s="272" t="s">
        <v>1398</v>
      </c>
      <c r="K2016" s="214">
        <f>8000*40%</f>
        <v>3200</v>
      </c>
      <c r="L2016" s="197"/>
      <c r="M2016" s="181"/>
    </row>
    <row r="2017" spans="1:13" x14ac:dyDescent="0.2">
      <c r="A2017" s="185"/>
      <c r="B2017" s="186"/>
      <c r="C2017" s="187"/>
      <c r="D2017" s="188"/>
      <c r="E2017" s="188"/>
      <c r="F2017" s="188"/>
      <c r="G2017" s="188"/>
      <c r="H2017" s="251"/>
      <c r="I2017" s="202"/>
      <c r="J2017" s="275"/>
      <c r="K2017" s="247">
        <f>SUM(K2014:K2016)</f>
        <v>8000</v>
      </c>
      <c r="L2017" s="205"/>
      <c r="M2017" s="193"/>
    </row>
    <row r="2018" spans="1:13" ht="48" x14ac:dyDescent="0.2">
      <c r="A2018" s="163">
        <v>480</v>
      </c>
      <c r="B2018" s="164" t="s">
        <v>2592</v>
      </c>
      <c r="C2018" s="165"/>
      <c r="D2018" s="166" t="s">
        <v>107</v>
      </c>
      <c r="E2018" s="166"/>
      <c r="F2018" s="166"/>
      <c r="G2018" s="166"/>
      <c r="H2018" s="248" t="s">
        <v>983</v>
      </c>
      <c r="I2018" s="276" t="s">
        <v>2593</v>
      </c>
      <c r="J2018" s="277" t="s">
        <v>1398</v>
      </c>
      <c r="K2018" s="278">
        <f>7500*50%</f>
        <v>3750</v>
      </c>
      <c r="L2018" s="195" t="s">
        <v>111</v>
      </c>
      <c r="M2018" s="171" t="s">
        <v>2594</v>
      </c>
    </row>
    <row r="2019" spans="1:13" x14ac:dyDescent="0.2">
      <c r="A2019" s="173"/>
      <c r="B2019" s="174"/>
      <c r="C2019" s="175"/>
      <c r="D2019" s="176"/>
      <c r="E2019" s="176"/>
      <c r="F2019" s="176"/>
      <c r="G2019" s="176"/>
      <c r="H2019" s="250"/>
      <c r="I2019" s="184" t="s">
        <v>2595</v>
      </c>
      <c r="J2019" s="272" t="s">
        <v>1390</v>
      </c>
      <c r="K2019" s="214">
        <f>7500*10%</f>
        <v>750</v>
      </c>
      <c r="L2019" s="197"/>
      <c r="M2019" s="181"/>
    </row>
    <row r="2020" spans="1:13" ht="48" x14ac:dyDescent="0.2">
      <c r="A2020" s="173"/>
      <c r="B2020" s="174"/>
      <c r="C2020" s="175"/>
      <c r="D2020" s="176"/>
      <c r="E2020" s="176"/>
      <c r="F2020" s="176"/>
      <c r="G2020" s="176"/>
      <c r="H2020" s="250"/>
      <c r="I2020" s="184" t="s">
        <v>2596</v>
      </c>
      <c r="J2020" s="272" t="s">
        <v>1398</v>
      </c>
      <c r="K2020" s="214">
        <f>7500*20%</f>
        <v>1500</v>
      </c>
      <c r="L2020" s="197"/>
      <c r="M2020" s="181"/>
    </row>
    <row r="2021" spans="1:13" ht="20.25" customHeight="1" x14ac:dyDescent="0.2">
      <c r="A2021" s="173"/>
      <c r="B2021" s="174"/>
      <c r="C2021" s="175"/>
      <c r="D2021" s="176"/>
      <c r="E2021" s="176"/>
      <c r="F2021" s="176"/>
      <c r="G2021" s="176"/>
      <c r="H2021" s="250"/>
      <c r="I2021" s="184" t="s">
        <v>2597</v>
      </c>
      <c r="J2021" s="272" t="s">
        <v>2598</v>
      </c>
      <c r="K2021" s="214">
        <f>7500*10%</f>
        <v>750</v>
      </c>
      <c r="L2021" s="197"/>
      <c r="M2021" s="181"/>
    </row>
    <row r="2022" spans="1:13" x14ac:dyDescent="0.2">
      <c r="A2022" s="173"/>
      <c r="B2022" s="174"/>
      <c r="C2022" s="175"/>
      <c r="D2022" s="176"/>
      <c r="E2022" s="176"/>
      <c r="F2022" s="176"/>
      <c r="G2022" s="176"/>
      <c r="H2022" s="250"/>
      <c r="I2022" s="184" t="s">
        <v>2599</v>
      </c>
      <c r="J2022" s="272" t="s">
        <v>1390</v>
      </c>
      <c r="K2022" s="214">
        <f>7500*10%</f>
        <v>750</v>
      </c>
      <c r="L2022" s="197"/>
      <c r="M2022" s="181"/>
    </row>
    <row r="2023" spans="1:13" x14ac:dyDescent="0.2">
      <c r="A2023" s="185"/>
      <c r="B2023" s="186"/>
      <c r="C2023" s="187"/>
      <c r="D2023" s="188"/>
      <c r="E2023" s="188"/>
      <c r="F2023" s="188"/>
      <c r="G2023" s="188"/>
      <c r="H2023" s="251"/>
      <c r="I2023" s="177"/>
      <c r="J2023" s="300"/>
      <c r="K2023" s="196">
        <f>SUM(K2018:K2022)</f>
        <v>7500</v>
      </c>
      <c r="L2023" s="205"/>
      <c r="M2023" s="193"/>
    </row>
    <row r="2024" spans="1:13" x14ac:dyDescent="0.2">
      <c r="A2024" s="163">
        <v>481</v>
      </c>
      <c r="B2024" s="164" t="s">
        <v>2600</v>
      </c>
      <c r="C2024" s="165"/>
      <c r="D2024" s="166" t="s">
        <v>107</v>
      </c>
      <c r="E2024" s="166"/>
      <c r="F2024" s="166"/>
      <c r="G2024" s="166"/>
      <c r="H2024" s="248"/>
      <c r="I2024" s="217" t="s">
        <v>2601</v>
      </c>
      <c r="J2024" s="267" t="s">
        <v>1390</v>
      </c>
      <c r="K2024" s="268">
        <f>7500*40%</f>
        <v>3000</v>
      </c>
      <c r="L2024" s="195" t="s">
        <v>111</v>
      </c>
      <c r="M2024" s="171" t="s">
        <v>2602</v>
      </c>
    </row>
    <row r="2025" spans="1:13" x14ac:dyDescent="0.2">
      <c r="A2025" s="173"/>
      <c r="B2025" s="174"/>
      <c r="C2025" s="175"/>
      <c r="D2025" s="176"/>
      <c r="E2025" s="176"/>
      <c r="F2025" s="176"/>
      <c r="G2025" s="176"/>
      <c r="H2025" s="250"/>
      <c r="I2025" s="184" t="s">
        <v>2603</v>
      </c>
      <c r="J2025" s="272" t="s">
        <v>1390</v>
      </c>
      <c r="K2025" s="214">
        <f>7500*20%</f>
        <v>1500</v>
      </c>
      <c r="L2025" s="197"/>
      <c r="M2025" s="181"/>
    </row>
    <row r="2026" spans="1:13" ht="48" x14ac:dyDescent="0.2">
      <c r="A2026" s="173"/>
      <c r="B2026" s="174"/>
      <c r="C2026" s="175"/>
      <c r="D2026" s="176"/>
      <c r="E2026" s="176"/>
      <c r="F2026" s="176"/>
      <c r="G2026" s="176"/>
      <c r="H2026" s="250"/>
      <c r="I2026" s="184" t="s">
        <v>2596</v>
      </c>
      <c r="J2026" s="272" t="s">
        <v>1398</v>
      </c>
      <c r="K2026" s="214">
        <f>7500*20%</f>
        <v>1500</v>
      </c>
      <c r="L2026" s="197"/>
      <c r="M2026" s="181"/>
    </row>
    <row r="2027" spans="1:13" ht="48" x14ac:dyDescent="0.2">
      <c r="A2027" s="173"/>
      <c r="B2027" s="174"/>
      <c r="C2027" s="175"/>
      <c r="D2027" s="176"/>
      <c r="E2027" s="176"/>
      <c r="F2027" s="176"/>
      <c r="G2027" s="176"/>
      <c r="H2027" s="250"/>
      <c r="I2027" s="184" t="s">
        <v>2560</v>
      </c>
      <c r="J2027" s="272" t="s">
        <v>1398</v>
      </c>
      <c r="K2027" s="214">
        <f>7500*20%</f>
        <v>1500</v>
      </c>
      <c r="L2027" s="197"/>
      <c r="M2027" s="181"/>
    </row>
    <row r="2028" spans="1:13" x14ac:dyDescent="0.2">
      <c r="A2028" s="185"/>
      <c r="B2028" s="186"/>
      <c r="C2028" s="187"/>
      <c r="D2028" s="188"/>
      <c r="E2028" s="188"/>
      <c r="F2028" s="188"/>
      <c r="G2028" s="188"/>
      <c r="H2028" s="251"/>
      <c r="I2028" s="202"/>
      <c r="J2028" s="275"/>
      <c r="K2028" s="247">
        <f>SUM(K2024:K2027)</f>
        <v>7500</v>
      </c>
      <c r="L2028" s="205"/>
      <c r="M2028" s="193"/>
    </row>
    <row r="2029" spans="1:13" ht="48" x14ac:dyDescent="0.2">
      <c r="A2029" s="163">
        <v>482</v>
      </c>
      <c r="B2029" s="164" t="s">
        <v>2604</v>
      </c>
      <c r="C2029" s="165"/>
      <c r="D2029" s="166" t="s">
        <v>107</v>
      </c>
      <c r="E2029" s="166"/>
      <c r="F2029" s="166"/>
      <c r="G2029" s="166"/>
      <c r="H2029" s="248" t="s">
        <v>164</v>
      </c>
      <c r="I2029" s="276" t="s">
        <v>2605</v>
      </c>
      <c r="J2029" s="277" t="s">
        <v>1398</v>
      </c>
      <c r="K2029" s="278">
        <f>8000*50%</f>
        <v>4000</v>
      </c>
      <c r="L2029" s="195" t="s">
        <v>111</v>
      </c>
      <c r="M2029" s="171" t="s">
        <v>2606</v>
      </c>
    </row>
    <row r="2030" spans="1:13" ht="48" x14ac:dyDescent="0.2">
      <c r="A2030" s="173"/>
      <c r="B2030" s="174"/>
      <c r="C2030" s="175"/>
      <c r="D2030" s="176"/>
      <c r="E2030" s="176"/>
      <c r="F2030" s="176"/>
      <c r="G2030" s="176"/>
      <c r="H2030" s="250"/>
      <c r="I2030" s="184" t="s">
        <v>2607</v>
      </c>
      <c r="J2030" s="272" t="s">
        <v>1398</v>
      </c>
      <c r="K2030" s="214">
        <f>8000*50%</f>
        <v>4000</v>
      </c>
      <c r="L2030" s="197"/>
      <c r="M2030" s="181"/>
    </row>
    <row r="2031" spans="1:13" x14ac:dyDescent="0.2">
      <c r="A2031" s="185"/>
      <c r="B2031" s="186"/>
      <c r="C2031" s="187"/>
      <c r="D2031" s="188"/>
      <c r="E2031" s="188"/>
      <c r="F2031" s="188"/>
      <c r="G2031" s="188"/>
      <c r="H2031" s="251"/>
      <c r="I2031" s="177"/>
      <c r="J2031" s="300"/>
      <c r="K2031" s="196">
        <f>SUM(K2029:K2030)</f>
        <v>8000</v>
      </c>
      <c r="L2031" s="205"/>
      <c r="M2031" s="193"/>
    </row>
    <row r="2032" spans="1:13" x14ac:dyDescent="0.2">
      <c r="A2032" s="163">
        <v>483</v>
      </c>
      <c r="B2032" s="164" t="s">
        <v>2608</v>
      </c>
      <c r="C2032" s="165"/>
      <c r="D2032" s="166" t="s">
        <v>107</v>
      </c>
      <c r="E2032" s="166"/>
      <c r="F2032" s="166"/>
      <c r="G2032" s="166"/>
      <c r="H2032" s="248" t="s">
        <v>164</v>
      </c>
      <c r="I2032" s="217" t="s">
        <v>2609</v>
      </c>
      <c r="J2032" s="267" t="s">
        <v>1390</v>
      </c>
      <c r="K2032" s="268">
        <f>8000*60%</f>
        <v>4800</v>
      </c>
      <c r="L2032" s="195" t="s">
        <v>111</v>
      </c>
      <c r="M2032" s="171" t="s">
        <v>2610</v>
      </c>
    </row>
    <row r="2033" spans="1:13" ht="48" x14ac:dyDescent="0.2">
      <c r="A2033" s="173"/>
      <c r="B2033" s="174"/>
      <c r="C2033" s="175"/>
      <c r="D2033" s="176"/>
      <c r="E2033" s="176"/>
      <c r="F2033" s="176"/>
      <c r="G2033" s="176"/>
      <c r="H2033" s="250"/>
      <c r="I2033" s="184" t="s">
        <v>2611</v>
      </c>
      <c r="J2033" s="272" t="s">
        <v>1398</v>
      </c>
      <c r="K2033" s="214">
        <f>8000*40%</f>
        <v>3200</v>
      </c>
      <c r="L2033" s="197"/>
      <c r="M2033" s="181"/>
    </row>
    <row r="2034" spans="1:13" x14ac:dyDescent="0.2">
      <c r="A2034" s="185"/>
      <c r="B2034" s="186"/>
      <c r="C2034" s="187"/>
      <c r="D2034" s="188"/>
      <c r="E2034" s="188"/>
      <c r="F2034" s="188"/>
      <c r="G2034" s="188"/>
      <c r="H2034" s="251"/>
      <c r="I2034" s="202"/>
      <c r="J2034" s="275"/>
      <c r="K2034" s="247">
        <f>SUM(K2032:K2033)</f>
        <v>8000</v>
      </c>
      <c r="L2034" s="205"/>
      <c r="M2034" s="193"/>
    </row>
    <row r="2035" spans="1:13" ht="22.5" customHeight="1" x14ac:dyDescent="0.2">
      <c r="A2035" s="163">
        <v>484</v>
      </c>
      <c r="B2035" s="164" t="s">
        <v>2612</v>
      </c>
      <c r="C2035" s="165"/>
      <c r="D2035" s="166" t="s">
        <v>107</v>
      </c>
      <c r="E2035" s="166"/>
      <c r="F2035" s="166"/>
      <c r="G2035" s="166"/>
      <c r="H2035" s="166"/>
      <c r="I2035" s="276" t="s">
        <v>2593</v>
      </c>
      <c r="J2035" s="277" t="s">
        <v>2613</v>
      </c>
      <c r="K2035" s="278">
        <f>8000*50%</f>
        <v>4000</v>
      </c>
      <c r="L2035" s="171" t="s">
        <v>111</v>
      </c>
      <c r="M2035" s="171" t="s">
        <v>2614</v>
      </c>
    </row>
    <row r="2036" spans="1:13" ht="48" x14ac:dyDescent="0.2">
      <c r="A2036" s="173"/>
      <c r="B2036" s="174"/>
      <c r="C2036" s="175"/>
      <c r="D2036" s="176"/>
      <c r="E2036" s="176"/>
      <c r="F2036" s="176"/>
      <c r="G2036" s="176"/>
      <c r="H2036" s="176"/>
      <c r="I2036" s="184" t="s">
        <v>2607</v>
      </c>
      <c r="J2036" s="272" t="s">
        <v>1398</v>
      </c>
      <c r="K2036" s="214">
        <f>8000*50%</f>
        <v>4000</v>
      </c>
      <c r="L2036" s="181"/>
      <c r="M2036" s="181"/>
    </row>
    <row r="2037" spans="1:13" x14ac:dyDescent="0.2">
      <c r="A2037" s="173"/>
      <c r="B2037" s="174"/>
      <c r="C2037" s="175"/>
      <c r="D2037" s="188"/>
      <c r="E2037" s="188"/>
      <c r="F2037" s="176"/>
      <c r="G2037" s="176"/>
      <c r="H2037" s="188"/>
      <c r="I2037" s="202"/>
      <c r="J2037" s="480"/>
      <c r="K2037" s="382">
        <f>SUM(K2035:K2036)</f>
        <v>8000</v>
      </c>
      <c r="L2037" s="193"/>
      <c r="M2037" s="181"/>
    </row>
    <row r="2038" spans="1:13" ht="21" customHeight="1" x14ac:dyDescent="0.2">
      <c r="A2038" s="163">
        <v>485</v>
      </c>
      <c r="B2038" s="164" t="s">
        <v>2615</v>
      </c>
      <c r="C2038" s="165"/>
      <c r="D2038" s="252" t="s">
        <v>107</v>
      </c>
      <c r="E2038" s="166"/>
      <c r="F2038" s="166"/>
      <c r="G2038" s="166"/>
      <c r="H2038" s="166"/>
      <c r="I2038" s="276" t="s">
        <v>2616</v>
      </c>
      <c r="J2038" s="249" t="s">
        <v>2617</v>
      </c>
      <c r="K2038" s="212">
        <f>5000*5%</f>
        <v>250</v>
      </c>
      <c r="L2038" s="170" t="s">
        <v>111</v>
      </c>
      <c r="M2038" s="171" t="s">
        <v>2618</v>
      </c>
    </row>
    <row r="2039" spans="1:13" x14ac:dyDescent="0.2">
      <c r="A2039" s="173"/>
      <c r="B2039" s="174"/>
      <c r="C2039" s="175"/>
      <c r="D2039" s="245"/>
      <c r="E2039" s="176"/>
      <c r="F2039" s="176"/>
      <c r="G2039" s="176"/>
      <c r="H2039" s="176"/>
      <c r="I2039" s="184" t="s">
        <v>2581</v>
      </c>
      <c r="J2039" s="207" t="s">
        <v>1950</v>
      </c>
      <c r="K2039" s="230">
        <f t="shared" ref="K2039:K2041" si="47">5000*5%</f>
        <v>250</v>
      </c>
      <c r="L2039" s="180"/>
      <c r="M2039" s="181"/>
    </row>
    <row r="2040" spans="1:13" x14ac:dyDescent="0.2">
      <c r="A2040" s="173"/>
      <c r="B2040" s="174"/>
      <c r="C2040" s="175"/>
      <c r="D2040" s="245"/>
      <c r="E2040" s="176"/>
      <c r="F2040" s="176"/>
      <c r="G2040" s="176"/>
      <c r="H2040" s="176"/>
      <c r="I2040" s="184" t="s">
        <v>2582</v>
      </c>
      <c r="J2040" s="207" t="s">
        <v>1950</v>
      </c>
      <c r="K2040" s="230">
        <f t="shared" si="47"/>
        <v>250</v>
      </c>
      <c r="L2040" s="180"/>
      <c r="M2040" s="181"/>
    </row>
    <row r="2041" spans="1:13" x14ac:dyDescent="0.2">
      <c r="A2041" s="173"/>
      <c r="B2041" s="174"/>
      <c r="C2041" s="175"/>
      <c r="D2041" s="245"/>
      <c r="E2041" s="176"/>
      <c r="F2041" s="176"/>
      <c r="G2041" s="176"/>
      <c r="H2041" s="176"/>
      <c r="I2041" s="184" t="s">
        <v>2583</v>
      </c>
      <c r="J2041" s="207" t="s">
        <v>1950</v>
      </c>
      <c r="K2041" s="230">
        <f t="shared" si="47"/>
        <v>250</v>
      </c>
      <c r="L2041" s="180"/>
      <c r="M2041" s="181"/>
    </row>
    <row r="2042" spans="1:13" x14ac:dyDescent="0.2">
      <c r="A2042" s="173"/>
      <c r="B2042" s="174"/>
      <c r="C2042" s="175"/>
      <c r="D2042" s="245"/>
      <c r="E2042" s="176"/>
      <c r="F2042" s="176"/>
      <c r="G2042" s="176"/>
      <c r="H2042" s="176"/>
      <c r="I2042" s="184" t="s">
        <v>2619</v>
      </c>
      <c r="J2042" s="207" t="s">
        <v>1950</v>
      </c>
      <c r="K2042" s="230">
        <f>5000*80%</f>
        <v>4000</v>
      </c>
      <c r="L2042" s="180"/>
      <c r="M2042" s="181"/>
    </row>
    <row r="2043" spans="1:13" x14ac:dyDescent="0.2">
      <c r="A2043" s="185"/>
      <c r="B2043" s="186"/>
      <c r="C2043" s="187"/>
      <c r="D2043" s="246"/>
      <c r="E2043" s="188"/>
      <c r="F2043" s="188"/>
      <c r="G2043" s="188"/>
      <c r="H2043" s="188"/>
      <c r="I2043" s="202"/>
      <c r="J2043" s="203"/>
      <c r="K2043" s="216">
        <f>SUM(K2038:K2042)</f>
        <v>5000</v>
      </c>
      <c r="L2043" s="192"/>
      <c r="M2043" s="193"/>
    </row>
    <row r="2044" spans="1:13" ht="21" customHeight="1" x14ac:dyDescent="0.2">
      <c r="A2044" s="163">
        <v>486</v>
      </c>
      <c r="B2044" s="164" t="s">
        <v>2620</v>
      </c>
      <c r="C2044" s="165"/>
      <c r="D2044" s="252" t="s">
        <v>107</v>
      </c>
      <c r="E2044" s="166"/>
      <c r="F2044" s="166"/>
      <c r="G2044" s="166"/>
      <c r="H2044" s="166"/>
      <c r="I2044" s="276" t="s">
        <v>2621</v>
      </c>
      <c r="J2044" s="249" t="s">
        <v>2617</v>
      </c>
      <c r="K2044" s="206">
        <f>5000*80%</f>
        <v>4000</v>
      </c>
      <c r="L2044" s="170" t="s">
        <v>111</v>
      </c>
      <c r="M2044" s="171" t="s">
        <v>2622</v>
      </c>
    </row>
    <row r="2045" spans="1:13" x14ac:dyDescent="0.2">
      <c r="A2045" s="173"/>
      <c r="B2045" s="174"/>
      <c r="C2045" s="175"/>
      <c r="D2045" s="245"/>
      <c r="E2045" s="176"/>
      <c r="F2045" s="176"/>
      <c r="G2045" s="176"/>
      <c r="H2045" s="176"/>
      <c r="I2045" s="184" t="s">
        <v>1949</v>
      </c>
      <c r="J2045" s="207" t="s">
        <v>1950</v>
      </c>
      <c r="K2045" s="208">
        <f>5000*5%</f>
        <v>250</v>
      </c>
      <c r="L2045" s="180"/>
      <c r="M2045" s="181"/>
    </row>
    <row r="2046" spans="1:13" x14ac:dyDescent="0.2">
      <c r="A2046" s="173"/>
      <c r="B2046" s="174"/>
      <c r="C2046" s="175"/>
      <c r="D2046" s="245"/>
      <c r="E2046" s="176"/>
      <c r="F2046" s="176"/>
      <c r="G2046" s="176"/>
      <c r="H2046" s="176"/>
      <c r="I2046" s="184" t="s">
        <v>2583</v>
      </c>
      <c r="J2046" s="207" t="s">
        <v>1950</v>
      </c>
      <c r="K2046" s="208">
        <f t="shared" ref="K2046:K2048" si="48">5000*5%</f>
        <v>250</v>
      </c>
      <c r="L2046" s="180"/>
      <c r="M2046" s="181"/>
    </row>
    <row r="2047" spans="1:13" x14ac:dyDescent="0.2">
      <c r="A2047" s="173"/>
      <c r="B2047" s="174"/>
      <c r="C2047" s="175"/>
      <c r="D2047" s="245"/>
      <c r="E2047" s="176"/>
      <c r="F2047" s="176"/>
      <c r="G2047" s="176"/>
      <c r="H2047" s="176"/>
      <c r="I2047" s="184" t="s">
        <v>2623</v>
      </c>
      <c r="J2047" s="207" t="s">
        <v>1950</v>
      </c>
      <c r="K2047" s="208">
        <f t="shared" si="48"/>
        <v>250</v>
      </c>
      <c r="L2047" s="180"/>
      <c r="M2047" s="181"/>
    </row>
    <row r="2048" spans="1:13" x14ac:dyDescent="0.2">
      <c r="A2048" s="173"/>
      <c r="B2048" s="174"/>
      <c r="C2048" s="175"/>
      <c r="D2048" s="245"/>
      <c r="E2048" s="176"/>
      <c r="F2048" s="176"/>
      <c r="G2048" s="176"/>
      <c r="H2048" s="176"/>
      <c r="I2048" s="184" t="s">
        <v>2581</v>
      </c>
      <c r="J2048" s="207" t="s">
        <v>1950</v>
      </c>
      <c r="K2048" s="208">
        <f t="shared" si="48"/>
        <v>250</v>
      </c>
      <c r="L2048" s="180"/>
      <c r="M2048" s="181"/>
    </row>
    <row r="2049" spans="1:13" x14ac:dyDescent="0.2">
      <c r="A2049" s="185"/>
      <c r="B2049" s="186"/>
      <c r="C2049" s="187"/>
      <c r="D2049" s="246"/>
      <c r="E2049" s="188"/>
      <c r="F2049" s="188"/>
      <c r="G2049" s="188"/>
      <c r="H2049" s="188"/>
      <c r="I2049" s="202"/>
      <c r="J2049" s="203"/>
      <c r="K2049" s="191">
        <f>SUM(K2044:K2048)</f>
        <v>5000</v>
      </c>
      <c r="L2049" s="192"/>
      <c r="M2049" s="193"/>
    </row>
    <row r="2050" spans="1:13" ht="21" customHeight="1" x14ac:dyDescent="0.2">
      <c r="A2050" s="163">
        <v>487</v>
      </c>
      <c r="B2050" s="164" t="s">
        <v>2624</v>
      </c>
      <c r="C2050" s="165"/>
      <c r="D2050" s="252" t="s">
        <v>107</v>
      </c>
      <c r="E2050" s="166"/>
      <c r="F2050" s="166"/>
      <c r="G2050" s="166"/>
      <c r="H2050" s="166"/>
      <c r="I2050" s="276" t="s">
        <v>2625</v>
      </c>
      <c r="J2050" s="249" t="s">
        <v>2617</v>
      </c>
      <c r="K2050" s="206">
        <f>5000*5%</f>
        <v>250</v>
      </c>
      <c r="L2050" s="170" t="s">
        <v>111</v>
      </c>
      <c r="M2050" s="171" t="s">
        <v>2626</v>
      </c>
    </row>
    <row r="2051" spans="1:13" x14ac:dyDescent="0.2">
      <c r="A2051" s="173"/>
      <c r="B2051" s="174"/>
      <c r="C2051" s="175"/>
      <c r="D2051" s="245"/>
      <c r="E2051" s="176"/>
      <c r="F2051" s="176"/>
      <c r="G2051" s="176"/>
      <c r="H2051" s="176"/>
      <c r="I2051" s="184" t="s">
        <v>2582</v>
      </c>
      <c r="J2051" s="207" t="s">
        <v>1950</v>
      </c>
      <c r="K2051" s="208">
        <f t="shared" ref="K2051:K2054" si="49">5000*5%</f>
        <v>250</v>
      </c>
      <c r="L2051" s="180"/>
      <c r="M2051" s="181"/>
    </row>
    <row r="2052" spans="1:13" x14ac:dyDescent="0.2">
      <c r="A2052" s="173"/>
      <c r="B2052" s="174"/>
      <c r="C2052" s="175"/>
      <c r="D2052" s="245"/>
      <c r="E2052" s="176"/>
      <c r="F2052" s="176"/>
      <c r="G2052" s="176"/>
      <c r="H2052" s="176"/>
      <c r="I2052" s="184" t="s">
        <v>2627</v>
      </c>
      <c r="J2052" s="207" t="s">
        <v>1950</v>
      </c>
      <c r="K2052" s="208">
        <f>5000*80%</f>
        <v>4000</v>
      </c>
      <c r="L2052" s="180"/>
      <c r="M2052" s="181"/>
    </row>
    <row r="2053" spans="1:13" x14ac:dyDescent="0.2">
      <c r="A2053" s="173"/>
      <c r="B2053" s="174"/>
      <c r="C2053" s="175"/>
      <c r="D2053" s="245"/>
      <c r="E2053" s="176"/>
      <c r="F2053" s="176"/>
      <c r="G2053" s="176"/>
      <c r="H2053" s="176"/>
      <c r="I2053" s="184" t="s">
        <v>2623</v>
      </c>
      <c r="J2053" s="207" t="s">
        <v>1950</v>
      </c>
      <c r="K2053" s="208">
        <f t="shared" si="49"/>
        <v>250</v>
      </c>
      <c r="L2053" s="180"/>
      <c r="M2053" s="181"/>
    </row>
    <row r="2054" spans="1:13" x14ac:dyDescent="0.2">
      <c r="A2054" s="173"/>
      <c r="B2054" s="174"/>
      <c r="C2054" s="175"/>
      <c r="D2054" s="245"/>
      <c r="E2054" s="176"/>
      <c r="F2054" s="176"/>
      <c r="G2054" s="176"/>
      <c r="H2054" s="176"/>
      <c r="I2054" s="184" t="s">
        <v>1949</v>
      </c>
      <c r="J2054" s="207" t="s">
        <v>1950</v>
      </c>
      <c r="K2054" s="208">
        <f t="shared" si="49"/>
        <v>250</v>
      </c>
      <c r="L2054" s="180"/>
      <c r="M2054" s="181"/>
    </row>
    <row r="2055" spans="1:13" x14ac:dyDescent="0.2">
      <c r="A2055" s="185"/>
      <c r="B2055" s="186"/>
      <c r="C2055" s="187"/>
      <c r="D2055" s="246"/>
      <c r="E2055" s="188"/>
      <c r="F2055" s="188"/>
      <c r="G2055" s="188"/>
      <c r="H2055" s="188"/>
      <c r="I2055" s="202"/>
      <c r="J2055" s="203"/>
      <c r="K2055" s="191">
        <f>SUM(K2050:K2054)</f>
        <v>5000</v>
      </c>
      <c r="L2055" s="192"/>
      <c r="M2055" s="193"/>
    </row>
    <row r="2056" spans="1:13" ht="21" customHeight="1" x14ac:dyDescent="0.2">
      <c r="A2056" s="163">
        <v>488</v>
      </c>
      <c r="B2056" s="164" t="s">
        <v>2628</v>
      </c>
      <c r="C2056" s="165"/>
      <c r="D2056" s="252" t="s">
        <v>107</v>
      </c>
      <c r="E2056" s="166"/>
      <c r="F2056" s="166"/>
      <c r="G2056" s="166"/>
      <c r="H2056" s="166"/>
      <c r="I2056" s="276" t="s">
        <v>2629</v>
      </c>
      <c r="J2056" s="249" t="s">
        <v>2630</v>
      </c>
      <c r="K2056" s="206">
        <f>5700*80%</f>
        <v>4560</v>
      </c>
      <c r="L2056" s="170" t="s">
        <v>111</v>
      </c>
      <c r="M2056" s="171" t="s">
        <v>2631</v>
      </c>
    </row>
    <row r="2057" spans="1:13" x14ac:dyDescent="0.2">
      <c r="A2057" s="173"/>
      <c r="B2057" s="174"/>
      <c r="C2057" s="175"/>
      <c r="D2057" s="245"/>
      <c r="E2057" s="176"/>
      <c r="F2057" s="176"/>
      <c r="G2057" s="176"/>
      <c r="H2057" s="176"/>
      <c r="I2057" s="184" t="s">
        <v>2632</v>
      </c>
      <c r="J2057" s="207" t="s">
        <v>2572</v>
      </c>
      <c r="K2057" s="208">
        <f>5700*5%</f>
        <v>285</v>
      </c>
      <c r="L2057" s="180"/>
      <c r="M2057" s="181"/>
    </row>
    <row r="2058" spans="1:13" x14ac:dyDescent="0.2">
      <c r="A2058" s="173"/>
      <c r="B2058" s="174"/>
      <c r="C2058" s="175"/>
      <c r="D2058" s="245"/>
      <c r="E2058" s="176"/>
      <c r="F2058" s="176"/>
      <c r="G2058" s="176"/>
      <c r="H2058" s="176"/>
      <c r="I2058" s="184" t="s">
        <v>2633</v>
      </c>
      <c r="J2058" s="207" t="s">
        <v>2572</v>
      </c>
      <c r="K2058" s="208">
        <f t="shared" ref="K2058:K2060" si="50">5700*5%</f>
        <v>285</v>
      </c>
      <c r="L2058" s="180"/>
      <c r="M2058" s="181"/>
    </row>
    <row r="2059" spans="1:13" x14ac:dyDescent="0.2">
      <c r="A2059" s="173"/>
      <c r="B2059" s="174"/>
      <c r="C2059" s="175"/>
      <c r="D2059" s="245"/>
      <c r="E2059" s="176"/>
      <c r="F2059" s="176"/>
      <c r="G2059" s="176"/>
      <c r="H2059" s="176"/>
      <c r="I2059" s="184" t="s">
        <v>2634</v>
      </c>
      <c r="J2059" s="207" t="s">
        <v>2572</v>
      </c>
      <c r="K2059" s="208">
        <f t="shared" si="50"/>
        <v>285</v>
      </c>
      <c r="L2059" s="180"/>
      <c r="M2059" s="181"/>
    </row>
    <row r="2060" spans="1:13" x14ac:dyDescent="0.2">
      <c r="A2060" s="173"/>
      <c r="B2060" s="174"/>
      <c r="C2060" s="175"/>
      <c r="D2060" s="245"/>
      <c r="E2060" s="176"/>
      <c r="F2060" s="176"/>
      <c r="G2060" s="176"/>
      <c r="H2060" s="176"/>
      <c r="I2060" s="184" t="s">
        <v>2635</v>
      </c>
      <c r="J2060" s="207" t="s">
        <v>2572</v>
      </c>
      <c r="K2060" s="208">
        <f t="shared" si="50"/>
        <v>285</v>
      </c>
      <c r="L2060" s="180"/>
      <c r="M2060" s="181"/>
    </row>
    <row r="2061" spans="1:13" x14ac:dyDescent="0.2">
      <c r="A2061" s="185"/>
      <c r="B2061" s="186"/>
      <c r="C2061" s="187"/>
      <c r="D2061" s="246"/>
      <c r="E2061" s="188"/>
      <c r="F2061" s="188"/>
      <c r="G2061" s="188"/>
      <c r="H2061" s="188"/>
      <c r="I2061" s="202"/>
      <c r="J2061" s="203"/>
      <c r="K2061" s="191">
        <f>SUM(K2056:K2060)</f>
        <v>5700</v>
      </c>
      <c r="L2061" s="192"/>
      <c r="M2061" s="193"/>
    </row>
    <row r="2062" spans="1:13" ht="21" customHeight="1" x14ac:dyDescent="0.2">
      <c r="A2062" s="163">
        <v>489</v>
      </c>
      <c r="B2062" s="164" t="s">
        <v>2636</v>
      </c>
      <c r="C2062" s="165"/>
      <c r="D2062" s="252" t="s">
        <v>107</v>
      </c>
      <c r="E2062" s="166"/>
      <c r="F2062" s="166"/>
      <c r="G2062" s="166"/>
      <c r="H2062" s="166"/>
      <c r="I2062" s="276" t="s">
        <v>2637</v>
      </c>
      <c r="J2062" s="249" t="s">
        <v>2630</v>
      </c>
      <c r="K2062" s="206">
        <f>2900*80%</f>
        <v>2320</v>
      </c>
      <c r="L2062" s="170" t="s">
        <v>111</v>
      </c>
      <c r="M2062" s="171" t="s">
        <v>2638</v>
      </c>
    </row>
    <row r="2063" spans="1:13" x14ac:dyDescent="0.2">
      <c r="A2063" s="173"/>
      <c r="B2063" s="174"/>
      <c r="C2063" s="175"/>
      <c r="D2063" s="245"/>
      <c r="E2063" s="176"/>
      <c r="F2063" s="176"/>
      <c r="G2063" s="176"/>
      <c r="H2063" s="176"/>
      <c r="I2063" s="184" t="s">
        <v>2577</v>
      </c>
      <c r="J2063" s="207" t="s">
        <v>2572</v>
      </c>
      <c r="K2063" s="208">
        <f>2900*5%</f>
        <v>145</v>
      </c>
      <c r="L2063" s="180"/>
      <c r="M2063" s="181"/>
    </row>
    <row r="2064" spans="1:13" x14ac:dyDescent="0.2">
      <c r="A2064" s="173"/>
      <c r="B2064" s="174"/>
      <c r="C2064" s="175"/>
      <c r="D2064" s="245"/>
      <c r="E2064" s="176"/>
      <c r="F2064" s="176"/>
      <c r="G2064" s="176"/>
      <c r="H2064" s="176"/>
      <c r="I2064" s="184" t="s">
        <v>2574</v>
      </c>
      <c r="J2064" s="207" t="s">
        <v>2572</v>
      </c>
      <c r="K2064" s="208">
        <f t="shared" ref="K2064:K2066" si="51">2900*5%</f>
        <v>145</v>
      </c>
      <c r="L2064" s="180"/>
      <c r="M2064" s="181"/>
    </row>
    <row r="2065" spans="1:13" x14ac:dyDescent="0.2">
      <c r="A2065" s="173"/>
      <c r="B2065" s="174"/>
      <c r="C2065" s="175"/>
      <c r="D2065" s="245"/>
      <c r="E2065" s="176"/>
      <c r="F2065" s="176"/>
      <c r="G2065" s="176"/>
      <c r="H2065" s="176"/>
      <c r="I2065" s="184" t="s">
        <v>2575</v>
      </c>
      <c r="J2065" s="207" t="s">
        <v>2572</v>
      </c>
      <c r="K2065" s="208">
        <f t="shared" si="51"/>
        <v>145</v>
      </c>
      <c r="L2065" s="180"/>
      <c r="M2065" s="181"/>
    </row>
    <row r="2066" spans="1:13" x14ac:dyDescent="0.2">
      <c r="A2066" s="173"/>
      <c r="B2066" s="174"/>
      <c r="C2066" s="175"/>
      <c r="D2066" s="245"/>
      <c r="E2066" s="176"/>
      <c r="F2066" s="176"/>
      <c r="G2066" s="176"/>
      <c r="H2066" s="176"/>
      <c r="I2066" s="184" t="s">
        <v>2576</v>
      </c>
      <c r="J2066" s="207" t="s">
        <v>2572</v>
      </c>
      <c r="K2066" s="208">
        <f t="shared" si="51"/>
        <v>145</v>
      </c>
      <c r="L2066" s="180"/>
      <c r="M2066" s="181"/>
    </row>
    <row r="2067" spans="1:13" x14ac:dyDescent="0.2">
      <c r="A2067" s="185"/>
      <c r="B2067" s="186"/>
      <c r="C2067" s="187"/>
      <c r="D2067" s="246"/>
      <c r="E2067" s="188"/>
      <c r="F2067" s="188"/>
      <c r="G2067" s="188"/>
      <c r="H2067" s="188"/>
      <c r="I2067" s="202"/>
      <c r="J2067" s="203"/>
      <c r="K2067" s="191">
        <f>SUM(K2062:K2066)</f>
        <v>2900</v>
      </c>
      <c r="L2067" s="192"/>
      <c r="M2067" s="193"/>
    </row>
    <row r="2068" spans="1:13" ht="21" customHeight="1" x14ac:dyDescent="0.2">
      <c r="A2068" s="163">
        <v>490</v>
      </c>
      <c r="B2068" s="164" t="s">
        <v>2639</v>
      </c>
      <c r="C2068" s="165"/>
      <c r="D2068" s="252" t="s">
        <v>107</v>
      </c>
      <c r="E2068" s="166"/>
      <c r="F2068" s="166"/>
      <c r="G2068" s="166"/>
      <c r="H2068" s="166"/>
      <c r="I2068" s="276" t="s">
        <v>2640</v>
      </c>
      <c r="J2068" s="249" t="s">
        <v>2630</v>
      </c>
      <c r="K2068" s="206">
        <f>5700*80%</f>
        <v>4560</v>
      </c>
      <c r="L2068" s="170" t="s">
        <v>111</v>
      </c>
      <c r="M2068" s="171" t="s">
        <v>2641</v>
      </c>
    </row>
    <row r="2069" spans="1:13" x14ac:dyDescent="0.2">
      <c r="A2069" s="173"/>
      <c r="B2069" s="174"/>
      <c r="C2069" s="175"/>
      <c r="D2069" s="245"/>
      <c r="E2069" s="176"/>
      <c r="F2069" s="176"/>
      <c r="G2069" s="176"/>
      <c r="H2069" s="176"/>
      <c r="I2069" s="184" t="s">
        <v>2575</v>
      </c>
      <c r="J2069" s="207" t="s">
        <v>2572</v>
      </c>
      <c r="K2069" s="208">
        <f>5700*5%</f>
        <v>285</v>
      </c>
      <c r="L2069" s="180"/>
      <c r="M2069" s="181"/>
    </row>
    <row r="2070" spans="1:13" x14ac:dyDescent="0.2">
      <c r="A2070" s="173"/>
      <c r="B2070" s="174"/>
      <c r="C2070" s="175"/>
      <c r="D2070" s="245"/>
      <c r="E2070" s="176"/>
      <c r="F2070" s="176"/>
      <c r="G2070" s="176"/>
      <c r="H2070" s="176"/>
      <c r="I2070" s="184" t="s">
        <v>2574</v>
      </c>
      <c r="J2070" s="207" t="s">
        <v>2572</v>
      </c>
      <c r="K2070" s="208">
        <f t="shared" ref="K2070:K2072" si="52">5700*5%</f>
        <v>285</v>
      </c>
      <c r="L2070" s="180"/>
      <c r="M2070" s="181"/>
    </row>
    <row r="2071" spans="1:13" x14ac:dyDescent="0.2">
      <c r="A2071" s="173"/>
      <c r="B2071" s="174"/>
      <c r="C2071" s="175"/>
      <c r="D2071" s="245"/>
      <c r="E2071" s="176"/>
      <c r="F2071" s="176"/>
      <c r="G2071" s="176"/>
      <c r="H2071" s="176"/>
      <c r="I2071" s="184" t="s">
        <v>2642</v>
      </c>
      <c r="J2071" s="207" t="s">
        <v>2572</v>
      </c>
      <c r="K2071" s="208">
        <f t="shared" si="52"/>
        <v>285</v>
      </c>
      <c r="L2071" s="180"/>
      <c r="M2071" s="181"/>
    </row>
    <row r="2072" spans="1:13" x14ac:dyDescent="0.2">
      <c r="A2072" s="173"/>
      <c r="B2072" s="174"/>
      <c r="C2072" s="175"/>
      <c r="D2072" s="245"/>
      <c r="E2072" s="176"/>
      <c r="F2072" s="176"/>
      <c r="G2072" s="176"/>
      <c r="H2072" s="176"/>
      <c r="I2072" s="184" t="s">
        <v>2577</v>
      </c>
      <c r="J2072" s="207" t="s">
        <v>2572</v>
      </c>
      <c r="K2072" s="208">
        <f t="shared" si="52"/>
        <v>285</v>
      </c>
      <c r="L2072" s="180"/>
      <c r="M2072" s="181"/>
    </row>
    <row r="2073" spans="1:13" x14ac:dyDescent="0.2">
      <c r="A2073" s="185"/>
      <c r="B2073" s="186"/>
      <c r="C2073" s="187"/>
      <c r="D2073" s="246"/>
      <c r="E2073" s="188"/>
      <c r="F2073" s="188"/>
      <c r="G2073" s="188"/>
      <c r="H2073" s="188"/>
      <c r="I2073" s="202"/>
      <c r="J2073" s="203"/>
      <c r="K2073" s="191">
        <f>SUM(K2068:K2072)</f>
        <v>5700</v>
      </c>
      <c r="L2073" s="192"/>
      <c r="M2073" s="193"/>
    </row>
    <row r="2074" spans="1:13" ht="21" customHeight="1" x14ac:dyDescent="0.2">
      <c r="A2074" s="163">
        <v>491</v>
      </c>
      <c r="B2074" s="164" t="s">
        <v>2643</v>
      </c>
      <c r="C2074" s="165"/>
      <c r="D2074" s="252" t="s">
        <v>107</v>
      </c>
      <c r="E2074" s="166"/>
      <c r="F2074" s="166"/>
      <c r="G2074" s="166"/>
      <c r="H2074" s="166"/>
      <c r="I2074" s="276" t="s">
        <v>2644</v>
      </c>
      <c r="J2074" s="249" t="s">
        <v>2630</v>
      </c>
      <c r="K2074" s="206">
        <f>5700*80%</f>
        <v>4560</v>
      </c>
      <c r="L2074" s="170" t="s">
        <v>111</v>
      </c>
      <c r="M2074" s="171" t="s">
        <v>2645</v>
      </c>
    </row>
    <row r="2075" spans="1:13" x14ac:dyDescent="0.2">
      <c r="A2075" s="173"/>
      <c r="B2075" s="174"/>
      <c r="C2075" s="175"/>
      <c r="D2075" s="245"/>
      <c r="E2075" s="176"/>
      <c r="F2075" s="176"/>
      <c r="G2075" s="176"/>
      <c r="H2075" s="176"/>
      <c r="I2075" s="184" t="s">
        <v>2574</v>
      </c>
      <c r="J2075" s="207" t="s">
        <v>2572</v>
      </c>
      <c r="K2075" s="208">
        <f>5700*5%</f>
        <v>285</v>
      </c>
      <c r="L2075" s="180"/>
      <c r="M2075" s="181"/>
    </row>
    <row r="2076" spans="1:13" x14ac:dyDescent="0.2">
      <c r="A2076" s="173"/>
      <c r="B2076" s="174"/>
      <c r="C2076" s="175"/>
      <c r="D2076" s="245"/>
      <c r="E2076" s="176"/>
      <c r="F2076" s="176"/>
      <c r="G2076" s="176"/>
      <c r="H2076" s="176"/>
      <c r="I2076" s="184" t="s">
        <v>2642</v>
      </c>
      <c r="J2076" s="207" t="s">
        <v>2572</v>
      </c>
      <c r="K2076" s="208">
        <f t="shared" ref="K2076:K2078" si="53">5700*5%</f>
        <v>285</v>
      </c>
      <c r="L2076" s="180"/>
      <c r="M2076" s="181"/>
    </row>
    <row r="2077" spans="1:13" x14ac:dyDescent="0.2">
      <c r="A2077" s="173"/>
      <c r="B2077" s="174"/>
      <c r="C2077" s="175"/>
      <c r="D2077" s="245"/>
      <c r="E2077" s="176"/>
      <c r="F2077" s="176"/>
      <c r="G2077" s="176"/>
      <c r="H2077" s="176"/>
      <c r="I2077" s="184" t="s">
        <v>2576</v>
      </c>
      <c r="J2077" s="207" t="s">
        <v>2572</v>
      </c>
      <c r="K2077" s="208">
        <f t="shared" si="53"/>
        <v>285</v>
      </c>
      <c r="L2077" s="180"/>
      <c r="M2077" s="181"/>
    </row>
    <row r="2078" spans="1:13" x14ac:dyDescent="0.2">
      <c r="A2078" s="173"/>
      <c r="B2078" s="174"/>
      <c r="C2078" s="175"/>
      <c r="D2078" s="245"/>
      <c r="E2078" s="176"/>
      <c r="F2078" s="176"/>
      <c r="G2078" s="176"/>
      <c r="H2078" s="176"/>
      <c r="I2078" s="184" t="s">
        <v>2577</v>
      </c>
      <c r="J2078" s="207" t="s">
        <v>2572</v>
      </c>
      <c r="K2078" s="208">
        <f t="shared" si="53"/>
        <v>285</v>
      </c>
      <c r="L2078" s="180"/>
      <c r="M2078" s="181"/>
    </row>
    <row r="2079" spans="1:13" x14ac:dyDescent="0.2">
      <c r="A2079" s="185"/>
      <c r="B2079" s="186"/>
      <c r="C2079" s="187"/>
      <c r="D2079" s="246"/>
      <c r="E2079" s="188"/>
      <c r="F2079" s="188"/>
      <c r="G2079" s="188"/>
      <c r="H2079" s="188"/>
      <c r="I2079" s="202"/>
      <c r="J2079" s="203"/>
      <c r="K2079" s="191">
        <f>SUM(K2074:K2078)</f>
        <v>5700</v>
      </c>
      <c r="L2079" s="192"/>
      <c r="M2079" s="193"/>
    </row>
    <row r="2080" spans="1:13" ht="21" customHeight="1" x14ac:dyDescent="0.2">
      <c r="A2080" s="163">
        <v>492</v>
      </c>
      <c r="B2080" s="164" t="s">
        <v>2646</v>
      </c>
      <c r="C2080" s="165"/>
      <c r="D2080" s="252" t="s">
        <v>107</v>
      </c>
      <c r="E2080" s="166"/>
      <c r="F2080" s="166"/>
      <c r="G2080" s="166"/>
      <c r="H2080" s="166"/>
      <c r="I2080" s="276" t="s">
        <v>2647</v>
      </c>
      <c r="J2080" s="249" t="s">
        <v>2617</v>
      </c>
      <c r="K2080" s="206">
        <f>5000*65%</f>
        <v>3250</v>
      </c>
      <c r="L2080" s="170" t="s">
        <v>111</v>
      </c>
      <c r="M2080" s="171" t="s">
        <v>2648</v>
      </c>
    </row>
    <row r="2081" spans="1:13" x14ac:dyDescent="0.2">
      <c r="A2081" s="173"/>
      <c r="B2081" s="174"/>
      <c r="C2081" s="175"/>
      <c r="D2081" s="245"/>
      <c r="E2081" s="176"/>
      <c r="F2081" s="176"/>
      <c r="G2081" s="176"/>
      <c r="H2081" s="176"/>
      <c r="I2081" s="184" t="s">
        <v>2587</v>
      </c>
      <c r="J2081" s="207" t="s">
        <v>1950</v>
      </c>
      <c r="K2081" s="208">
        <f>5000*20%</f>
        <v>1000</v>
      </c>
      <c r="L2081" s="180"/>
      <c r="M2081" s="181"/>
    </row>
    <row r="2082" spans="1:13" x14ac:dyDescent="0.2">
      <c r="A2082" s="173"/>
      <c r="B2082" s="174"/>
      <c r="C2082" s="175"/>
      <c r="D2082" s="245"/>
      <c r="E2082" s="176"/>
      <c r="F2082" s="176"/>
      <c r="G2082" s="176"/>
      <c r="H2082" s="176"/>
      <c r="I2082" s="184" t="s">
        <v>2582</v>
      </c>
      <c r="J2082" s="207" t="s">
        <v>1950</v>
      </c>
      <c r="K2082" s="208">
        <f>5000*5%</f>
        <v>250</v>
      </c>
      <c r="L2082" s="180"/>
      <c r="M2082" s="181"/>
    </row>
    <row r="2083" spans="1:13" x14ac:dyDescent="0.2">
      <c r="A2083" s="173"/>
      <c r="B2083" s="174"/>
      <c r="C2083" s="175"/>
      <c r="D2083" s="245"/>
      <c r="E2083" s="176"/>
      <c r="F2083" s="176"/>
      <c r="G2083" s="176"/>
      <c r="H2083" s="176"/>
      <c r="I2083" s="184" t="s">
        <v>2581</v>
      </c>
      <c r="J2083" s="207" t="s">
        <v>1950</v>
      </c>
      <c r="K2083" s="208">
        <f t="shared" ref="K2083:K2084" si="54">5000*5%</f>
        <v>250</v>
      </c>
      <c r="L2083" s="180"/>
      <c r="M2083" s="181"/>
    </row>
    <row r="2084" spans="1:13" x14ac:dyDescent="0.2">
      <c r="A2084" s="173"/>
      <c r="B2084" s="174"/>
      <c r="C2084" s="175"/>
      <c r="D2084" s="245"/>
      <c r="E2084" s="176"/>
      <c r="F2084" s="176"/>
      <c r="G2084" s="176"/>
      <c r="H2084" s="176"/>
      <c r="I2084" s="184" t="s">
        <v>2583</v>
      </c>
      <c r="J2084" s="207" t="s">
        <v>1950</v>
      </c>
      <c r="K2084" s="208">
        <f t="shared" si="54"/>
        <v>250</v>
      </c>
      <c r="L2084" s="180"/>
      <c r="M2084" s="181"/>
    </row>
    <row r="2085" spans="1:13" x14ac:dyDescent="0.2">
      <c r="A2085" s="185"/>
      <c r="B2085" s="186"/>
      <c r="C2085" s="187"/>
      <c r="D2085" s="246"/>
      <c r="E2085" s="188"/>
      <c r="F2085" s="188"/>
      <c r="G2085" s="188"/>
      <c r="H2085" s="188"/>
      <c r="I2085" s="202"/>
      <c r="J2085" s="203"/>
      <c r="K2085" s="191">
        <f>SUM(K2080:K2084)</f>
        <v>5000</v>
      </c>
      <c r="L2085" s="192"/>
      <c r="M2085" s="193"/>
    </row>
    <row r="2086" spans="1:13" ht="65.25" customHeight="1" x14ac:dyDescent="0.2">
      <c r="A2086" s="232">
        <v>493</v>
      </c>
      <c r="B2086" s="255" t="s">
        <v>2649</v>
      </c>
      <c r="C2086" s="256" t="s">
        <v>2649</v>
      </c>
      <c r="D2086" s="257" t="s">
        <v>107</v>
      </c>
      <c r="E2086" s="258"/>
      <c r="F2086" s="258"/>
      <c r="G2086" s="258"/>
      <c r="H2086" s="259"/>
      <c r="I2086" s="189" t="s">
        <v>2650</v>
      </c>
      <c r="J2086" s="215" t="s">
        <v>2651</v>
      </c>
      <c r="K2086" s="260">
        <v>18000</v>
      </c>
      <c r="L2086" s="261" t="s">
        <v>111</v>
      </c>
      <c r="M2086" s="189" t="s">
        <v>2652</v>
      </c>
    </row>
    <row r="2087" spans="1:13" ht="80.25" customHeight="1" x14ac:dyDescent="0.2">
      <c r="A2087" s="232">
        <v>494</v>
      </c>
      <c r="B2087" s="255" t="s">
        <v>2653</v>
      </c>
      <c r="C2087" s="256" t="s">
        <v>2653</v>
      </c>
      <c r="D2087" s="257" t="s">
        <v>107</v>
      </c>
      <c r="E2087" s="258"/>
      <c r="F2087" s="258"/>
      <c r="G2087" s="258" t="s">
        <v>2654</v>
      </c>
      <c r="H2087" s="259"/>
      <c r="I2087" s="189" t="s">
        <v>2655</v>
      </c>
      <c r="J2087" s="215" t="s">
        <v>1398</v>
      </c>
      <c r="K2087" s="260">
        <v>18000</v>
      </c>
      <c r="L2087" s="261" t="s">
        <v>111</v>
      </c>
      <c r="M2087" s="189" t="s">
        <v>2656</v>
      </c>
    </row>
    <row r="2088" spans="1:13" ht="69.75" customHeight="1" x14ac:dyDescent="0.2">
      <c r="A2088" s="232">
        <v>495</v>
      </c>
      <c r="B2088" s="255" t="s">
        <v>2657</v>
      </c>
      <c r="C2088" s="256" t="s">
        <v>2657</v>
      </c>
      <c r="D2088" s="257" t="s">
        <v>107</v>
      </c>
      <c r="E2088" s="258"/>
      <c r="F2088" s="258"/>
      <c r="G2088" s="258"/>
      <c r="H2088" s="259"/>
      <c r="I2088" s="189" t="s">
        <v>2658</v>
      </c>
      <c r="J2088" s="215" t="s">
        <v>2659</v>
      </c>
      <c r="K2088" s="260">
        <v>18000</v>
      </c>
      <c r="L2088" s="261" t="s">
        <v>111</v>
      </c>
      <c r="M2088" s="189" t="s">
        <v>2660</v>
      </c>
    </row>
    <row r="2089" spans="1:13" ht="21" customHeight="1" x14ac:dyDescent="0.2">
      <c r="A2089" s="252">
        <v>496</v>
      </c>
      <c r="B2089" s="344" t="s">
        <v>2661</v>
      </c>
      <c r="C2089" s="345"/>
      <c r="D2089" s="166" t="s">
        <v>25</v>
      </c>
      <c r="E2089" s="166"/>
      <c r="F2089" s="166"/>
      <c r="G2089" s="166" t="s">
        <v>2662</v>
      </c>
      <c r="H2089" s="166" t="s">
        <v>769</v>
      </c>
      <c r="I2089" s="481" t="s">
        <v>2663</v>
      </c>
      <c r="J2089" s="481" t="s">
        <v>1116</v>
      </c>
      <c r="K2089" s="278">
        <f>47740*40%</f>
        <v>19096</v>
      </c>
      <c r="L2089" s="171" t="s">
        <v>2662</v>
      </c>
      <c r="M2089" s="171" t="s">
        <v>2664</v>
      </c>
    </row>
    <row r="2090" spans="1:13" ht="19.5" customHeight="1" x14ac:dyDescent="0.2">
      <c r="A2090" s="245"/>
      <c r="B2090" s="348"/>
      <c r="C2090" s="349"/>
      <c r="D2090" s="176"/>
      <c r="E2090" s="176"/>
      <c r="F2090" s="176"/>
      <c r="G2090" s="176"/>
      <c r="H2090" s="176"/>
      <c r="I2090" s="481" t="s">
        <v>2665</v>
      </c>
      <c r="J2090" s="481" t="s">
        <v>2659</v>
      </c>
      <c r="K2090" s="278">
        <f>47740*20%</f>
        <v>9548</v>
      </c>
      <c r="L2090" s="181"/>
      <c r="M2090" s="181"/>
    </row>
    <row r="2091" spans="1:13" ht="23.25" customHeight="1" x14ac:dyDescent="0.2">
      <c r="A2091" s="245"/>
      <c r="B2091" s="348"/>
      <c r="C2091" s="349"/>
      <c r="D2091" s="176"/>
      <c r="E2091" s="176"/>
      <c r="F2091" s="176"/>
      <c r="G2091" s="176"/>
      <c r="H2091" s="176"/>
      <c r="I2091" s="481" t="s">
        <v>2666</v>
      </c>
      <c r="J2091" s="481" t="s">
        <v>2598</v>
      </c>
      <c r="K2091" s="278">
        <f>47740*20%</f>
        <v>9548</v>
      </c>
      <c r="L2091" s="181"/>
      <c r="M2091" s="181"/>
    </row>
    <row r="2092" spans="1:13" x14ac:dyDescent="0.2">
      <c r="A2092" s="245"/>
      <c r="B2092" s="348"/>
      <c r="C2092" s="349"/>
      <c r="D2092" s="176"/>
      <c r="E2092" s="176"/>
      <c r="F2092" s="176"/>
      <c r="G2092" s="176"/>
      <c r="H2092" s="176"/>
      <c r="I2092" s="481" t="s">
        <v>2667</v>
      </c>
      <c r="J2092" s="481" t="s">
        <v>2572</v>
      </c>
      <c r="K2092" s="278">
        <f>47740*20%</f>
        <v>9548</v>
      </c>
      <c r="L2092" s="181"/>
      <c r="M2092" s="181"/>
    </row>
    <row r="2093" spans="1:13" x14ac:dyDescent="0.2">
      <c r="A2093" s="246"/>
      <c r="B2093" s="482"/>
      <c r="C2093" s="483"/>
      <c r="D2093" s="188"/>
      <c r="E2093" s="188"/>
      <c r="F2093" s="188"/>
      <c r="G2093" s="188"/>
      <c r="H2093" s="188"/>
      <c r="I2093" s="342"/>
      <c r="J2093" s="342"/>
      <c r="K2093" s="247">
        <f>SUM(K2089:K2092)</f>
        <v>47740</v>
      </c>
      <c r="L2093" s="193"/>
      <c r="M2093" s="193"/>
    </row>
    <row r="2094" spans="1:13" s="132" customFormat="1" x14ac:dyDescent="0.2">
      <c r="H2094" s="138"/>
      <c r="K2094" s="172"/>
    </row>
    <row r="2095" spans="1:13" s="132" customFormat="1" x14ac:dyDescent="0.2">
      <c r="H2095" s="138"/>
      <c r="K2095" s="172"/>
    </row>
    <row r="2096" spans="1:13" s="132" customFormat="1" x14ac:dyDescent="0.2">
      <c r="H2096" s="138"/>
      <c r="K2096" s="172"/>
    </row>
    <row r="2097" spans="8:11" s="132" customFormat="1" x14ac:dyDescent="0.2">
      <c r="H2097" s="138"/>
      <c r="K2097" s="172"/>
    </row>
    <row r="2098" spans="8:11" s="132" customFormat="1" x14ac:dyDescent="0.2">
      <c r="H2098" s="138"/>
      <c r="K2098" s="172"/>
    </row>
    <row r="2099" spans="8:11" s="132" customFormat="1" x14ac:dyDescent="0.2">
      <c r="H2099" s="138"/>
    </row>
    <row r="2100" spans="8:11" s="132" customFormat="1" x14ac:dyDescent="0.2">
      <c r="H2100" s="138"/>
    </row>
    <row r="2101" spans="8:11" s="132" customFormat="1" x14ac:dyDescent="0.2">
      <c r="H2101" s="138"/>
    </row>
    <row r="2102" spans="8:11" s="132" customFormat="1" x14ac:dyDescent="0.2">
      <c r="H2102" s="138"/>
    </row>
    <row r="2103" spans="8:11" s="132" customFormat="1" x14ac:dyDescent="0.2">
      <c r="H2103" s="138"/>
    </row>
    <row r="2104" spans="8:11" s="132" customFormat="1" x14ac:dyDescent="0.2">
      <c r="H2104" s="138"/>
    </row>
    <row r="2105" spans="8:11" s="132" customFormat="1" x14ac:dyDescent="0.2">
      <c r="H2105" s="138"/>
    </row>
    <row r="2106" spans="8:11" s="132" customFormat="1" x14ac:dyDescent="0.2">
      <c r="H2106" s="138"/>
    </row>
    <row r="2107" spans="8:11" s="132" customFormat="1" x14ac:dyDescent="0.2">
      <c r="H2107" s="138"/>
    </row>
    <row r="2108" spans="8:11" s="132" customFormat="1" x14ac:dyDescent="0.2">
      <c r="H2108" s="138"/>
    </row>
    <row r="2109" spans="8:11" s="132" customFormat="1" x14ac:dyDescent="0.2">
      <c r="H2109" s="138"/>
    </row>
    <row r="2110" spans="8:11" s="132" customFormat="1" x14ac:dyDescent="0.2">
      <c r="H2110" s="138"/>
    </row>
    <row r="2111" spans="8:11" s="132" customFormat="1" x14ac:dyDescent="0.2">
      <c r="H2111" s="138"/>
    </row>
    <row r="2112" spans="8:11" s="132" customFormat="1" x14ac:dyDescent="0.2">
      <c r="H2112" s="138"/>
    </row>
    <row r="2113" spans="8:8" s="132" customFormat="1" x14ac:dyDescent="0.2">
      <c r="H2113" s="138"/>
    </row>
    <row r="2114" spans="8:8" s="132" customFormat="1" x14ac:dyDescent="0.2">
      <c r="H2114" s="138"/>
    </row>
    <row r="2115" spans="8:8" s="132" customFormat="1" x14ac:dyDescent="0.2">
      <c r="H2115" s="138"/>
    </row>
    <row r="2116" spans="8:8" s="132" customFormat="1" x14ac:dyDescent="0.2">
      <c r="H2116" s="138"/>
    </row>
    <row r="2117" spans="8:8" s="132" customFormat="1" x14ac:dyDescent="0.2">
      <c r="H2117" s="138"/>
    </row>
    <row r="2118" spans="8:8" s="132" customFormat="1" x14ac:dyDescent="0.2">
      <c r="H2118" s="138"/>
    </row>
    <row r="2119" spans="8:8" s="132" customFormat="1" x14ac:dyDescent="0.2">
      <c r="H2119" s="138"/>
    </row>
    <row r="2120" spans="8:8" s="132" customFormat="1" x14ac:dyDescent="0.2">
      <c r="H2120" s="138"/>
    </row>
    <row r="2121" spans="8:8" s="132" customFormat="1" x14ac:dyDescent="0.2">
      <c r="H2121" s="138"/>
    </row>
    <row r="2122" spans="8:8" s="132" customFormat="1" x14ac:dyDescent="0.2">
      <c r="H2122" s="138"/>
    </row>
    <row r="2123" spans="8:8" s="132" customFormat="1" x14ac:dyDescent="0.2">
      <c r="H2123" s="138"/>
    </row>
    <row r="2124" spans="8:8" s="132" customFormat="1" x14ac:dyDescent="0.2">
      <c r="H2124" s="138"/>
    </row>
    <row r="2125" spans="8:8" s="132" customFormat="1" x14ac:dyDescent="0.2">
      <c r="H2125" s="138"/>
    </row>
    <row r="2126" spans="8:8" s="132" customFormat="1" x14ac:dyDescent="0.2">
      <c r="H2126" s="138"/>
    </row>
    <row r="2127" spans="8:8" s="132" customFormat="1" x14ac:dyDescent="0.2">
      <c r="H2127" s="138"/>
    </row>
    <row r="2128" spans="8:8" s="132" customFormat="1" x14ac:dyDescent="0.2">
      <c r="H2128" s="138"/>
    </row>
    <row r="2129" spans="8:8" s="132" customFormat="1" x14ac:dyDescent="0.2">
      <c r="H2129" s="138"/>
    </row>
    <row r="2130" spans="8:8" s="132" customFormat="1" x14ac:dyDescent="0.2">
      <c r="H2130" s="138"/>
    </row>
    <row r="2131" spans="8:8" s="132" customFormat="1" x14ac:dyDescent="0.2">
      <c r="H2131" s="138"/>
    </row>
    <row r="2132" spans="8:8" s="132" customFormat="1" x14ac:dyDescent="0.2">
      <c r="H2132" s="138"/>
    </row>
    <row r="2133" spans="8:8" s="132" customFormat="1" x14ac:dyDescent="0.2">
      <c r="H2133" s="138"/>
    </row>
    <row r="2134" spans="8:8" s="132" customFormat="1" x14ac:dyDescent="0.2">
      <c r="H2134" s="138"/>
    </row>
    <row r="2135" spans="8:8" s="132" customFormat="1" x14ac:dyDescent="0.2">
      <c r="H2135" s="138"/>
    </row>
    <row r="2136" spans="8:8" s="132" customFormat="1" x14ac:dyDescent="0.2">
      <c r="H2136" s="138"/>
    </row>
    <row r="2137" spans="8:8" s="132" customFormat="1" x14ac:dyDescent="0.2">
      <c r="H2137" s="138"/>
    </row>
    <row r="2138" spans="8:8" s="132" customFormat="1" x14ac:dyDescent="0.2">
      <c r="H2138" s="138"/>
    </row>
    <row r="2139" spans="8:8" s="132" customFormat="1" x14ac:dyDescent="0.2">
      <c r="H2139" s="138"/>
    </row>
    <row r="2140" spans="8:8" s="132" customFormat="1" x14ac:dyDescent="0.2">
      <c r="H2140" s="138"/>
    </row>
    <row r="2141" spans="8:8" s="132" customFormat="1" x14ac:dyDescent="0.2">
      <c r="H2141" s="138"/>
    </row>
    <row r="2142" spans="8:8" s="132" customFormat="1" x14ac:dyDescent="0.2">
      <c r="H2142" s="138"/>
    </row>
    <row r="2143" spans="8:8" s="132" customFormat="1" x14ac:dyDescent="0.2">
      <c r="H2143" s="138"/>
    </row>
    <row r="2144" spans="8:8" s="132" customFormat="1" x14ac:dyDescent="0.2">
      <c r="H2144" s="138"/>
    </row>
    <row r="2145" spans="8:8" s="132" customFormat="1" x14ac:dyDescent="0.2">
      <c r="H2145" s="138"/>
    </row>
    <row r="2146" spans="8:8" s="132" customFormat="1" x14ac:dyDescent="0.2">
      <c r="H2146" s="138"/>
    </row>
    <row r="2147" spans="8:8" s="132" customFormat="1" x14ac:dyDescent="0.2">
      <c r="H2147" s="138"/>
    </row>
    <row r="2148" spans="8:8" s="132" customFormat="1" x14ac:dyDescent="0.2">
      <c r="H2148" s="138"/>
    </row>
    <row r="2149" spans="8:8" s="132" customFormat="1" x14ac:dyDescent="0.2">
      <c r="H2149" s="138"/>
    </row>
    <row r="2150" spans="8:8" s="132" customFormat="1" x14ac:dyDescent="0.2">
      <c r="H2150" s="138"/>
    </row>
    <row r="2151" spans="8:8" s="132" customFormat="1" x14ac:dyDescent="0.2">
      <c r="H2151" s="138"/>
    </row>
    <row r="2152" spans="8:8" s="132" customFormat="1" x14ac:dyDescent="0.2">
      <c r="H2152" s="138"/>
    </row>
    <row r="2153" spans="8:8" s="132" customFormat="1" x14ac:dyDescent="0.2">
      <c r="H2153" s="138"/>
    </row>
    <row r="2154" spans="8:8" s="132" customFormat="1" x14ac:dyDescent="0.2">
      <c r="H2154" s="138"/>
    </row>
    <row r="2155" spans="8:8" s="132" customFormat="1" x14ac:dyDescent="0.2">
      <c r="H2155" s="138"/>
    </row>
    <row r="2156" spans="8:8" s="132" customFormat="1" x14ac:dyDescent="0.2">
      <c r="H2156" s="138"/>
    </row>
    <row r="2157" spans="8:8" s="132" customFormat="1" x14ac:dyDescent="0.2">
      <c r="H2157" s="138"/>
    </row>
    <row r="2158" spans="8:8" s="132" customFormat="1" x14ac:dyDescent="0.2">
      <c r="H2158" s="138"/>
    </row>
    <row r="2159" spans="8:8" s="132" customFormat="1" x14ac:dyDescent="0.2">
      <c r="H2159" s="138"/>
    </row>
    <row r="2160" spans="8:8" s="132" customFormat="1" x14ac:dyDescent="0.2">
      <c r="H2160" s="138"/>
    </row>
    <row r="2161" spans="8:8" s="132" customFormat="1" x14ac:dyDescent="0.2">
      <c r="H2161" s="138"/>
    </row>
    <row r="2162" spans="8:8" s="132" customFormat="1" x14ac:dyDescent="0.2">
      <c r="H2162" s="138"/>
    </row>
    <row r="2163" spans="8:8" s="132" customFormat="1" x14ac:dyDescent="0.2">
      <c r="H2163" s="138"/>
    </row>
    <row r="2164" spans="8:8" s="132" customFormat="1" x14ac:dyDescent="0.2">
      <c r="H2164" s="138"/>
    </row>
    <row r="2165" spans="8:8" s="132" customFormat="1" x14ac:dyDescent="0.2">
      <c r="H2165" s="138"/>
    </row>
    <row r="2166" spans="8:8" s="132" customFormat="1" x14ac:dyDescent="0.2">
      <c r="H2166" s="138"/>
    </row>
    <row r="2167" spans="8:8" s="132" customFormat="1" x14ac:dyDescent="0.2">
      <c r="H2167" s="138"/>
    </row>
    <row r="2168" spans="8:8" s="132" customFormat="1" x14ac:dyDescent="0.2">
      <c r="H2168" s="138"/>
    </row>
    <row r="2169" spans="8:8" s="132" customFormat="1" x14ac:dyDescent="0.2">
      <c r="H2169" s="138"/>
    </row>
    <row r="2170" spans="8:8" s="132" customFormat="1" x14ac:dyDescent="0.2">
      <c r="H2170" s="138"/>
    </row>
    <row r="2171" spans="8:8" s="132" customFormat="1" x14ac:dyDescent="0.2">
      <c r="H2171" s="138"/>
    </row>
    <row r="2172" spans="8:8" s="132" customFormat="1" x14ac:dyDescent="0.2">
      <c r="H2172" s="138"/>
    </row>
    <row r="2173" spans="8:8" s="132" customFormat="1" x14ac:dyDescent="0.2">
      <c r="H2173" s="138"/>
    </row>
    <row r="2174" spans="8:8" s="132" customFormat="1" x14ac:dyDescent="0.2">
      <c r="H2174" s="138"/>
    </row>
    <row r="2175" spans="8:8" s="132" customFormat="1" x14ac:dyDescent="0.2">
      <c r="H2175" s="138"/>
    </row>
    <row r="2176" spans="8:8" s="132" customFormat="1" x14ac:dyDescent="0.2">
      <c r="H2176" s="138"/>
    </row>
    <row r="2177" spans="8:8" s="132" customFormat="1" x14ac:dyDescent="0.2">
      <c r="H2177" s="138"/>
    </row>
  </sheetData>
  <autoFilter ref="A1:M2068">
    <filterColumn colId="11" showButton="0"/>
  </autoFilter>
  <mergeCells count="3488">
    <mergeCell ref="H2089:H2093"/>
    <mergeCell ref="L2089:L2093"/>
    <mergeCell ref="M2089:M2093"/>
    <mergeCell ref="M2080:M2085"/>
    <mergeCell ref="B2086:C2086"/>
    <mergeCell ref="B2087:C2087"/>
    <mergeCell ref="B2088:C2088"/>
    <mergeCell ref="A2089:A2093"/>
    <mergeCell ref="B2089:C2093"/>
    <mergeCell ref="D2089:D2093"/>
    <mergeCell ref="E2089:E2093"/>
    <mergeCell ref="F2089:F2093"/>
    <mergeCell ref="G2089:G2093"/>
    <mergeCell ref="L2074:L2079"/>
    <mergeCell ref="M2074:M2079"/>
    <mergeCell ref="A2080:A2085"/>
    <mergeCell ref="B2080:C2085"/>
    <mergeCell ref="D2080:D2085"/>
    <mergeCell ref="E2080:E2085"/>
    <mergeCell ref="F2080:F2085"/>
    <mergeCell ref="G2080:G2085"/>
    <mergeCell ref="H2080:H2085"/>
    <mergeCell ref="L2080:L2085"/>
    <mergeCell ref="H2068:H2073"/>
    <mergeCell ref="L2068:L2073"/>
    <mergeCell ref="M2068:M2073"/>
    <mergeCell ref="A2074:A2079"/>
    <mergeCell ref="B2074:C2079"/>
    <mergeCell ref="D2074:D2079"/>
    <mergeCell ref="E2074:E2079"/>
    <mergeCell ref="F2074:F2079"/>
    <mergeCell ref="G2074:G2079"/>
    <mergeCell ref="H2074:H2079"/>
    <mergeCell ref="A2068:A2073"/>
    <mergeCell ref="B2068:C2073"/>
    <mergeCell ref="D2068:D2073"/>
    <mergeCell ref="E2068:E2073"/>
    <mergeCell ref="F2068:F2073"/>
    <mergeCell ref="G2068:G2073"/>
    <mergeCell ref="M2056:M2061"/>
    <mergeCell ref="A2062:A2067"/>
    <mergeCell ref="B2062:C2067"/>
    <mergeCell ref="D2062:D2067"/>
    <mergeCell ref="E2062:E2067"/>
    <mergeCell ref="F2062:F2067"/>
    <mergeCell ref="G2062:G2067"/>
    <mergeCell ref="H2062:H2067"/>
    <mergeCell ref="L2062:L2067"/>
    <mergeCell ref="M2062:M2067"/>
    <mergeCell ref="L2050:L2055"/>
    <mergeCell ref="M2050:M2055"/>
    <mergeCell ref="A2056:A2061"/>
    <mergeCell ref="B2056:C2061"/>
    <mergeCell ref="D2056:D2061"/>
    <mergeCell ref="E2056:E2061"/>
    <mergeCell ref="F2056:F2061"/>
    <mergeCell ref="G2056:G2061"/>
    <mergeCell ref="H2056:H2061"/>
    <mergeCell ref="L2056:L2061"/>
    <mergeCell ref="H2044:H2049"/>
    <mergeCell ref="L2044:L2049"/>
    <mergeCell ref="M2044:M2049"/>
    <mergeCell ref="A2050:A2055"/>
    <mergeCell ref="B2050:C2055"/>
    <mergeCell ref="D2050:D2055"/>
    <mergeCell ref="E2050:E2055"/>
    <mergeCell ref="F2050:F2055"/>
    <mergeCell ref="G2050:G2055"/>
    <mergeCell ref="H2050:H2055"/>
    <mergeCell ref="A2044:A2049"/>
    <mergeCell ref="B2044:C2049"/>
    <mergeCell ref="D2044:D2049"/>
    <mergeCell ref="E2044:E2049"/>
    <mergeCell ref="F2044:F2049"/>
    <mergeCell ref="G2044:G2049"/>
    <mergeCell ref="M2035:M2037"/>
    <mergeCell ref="A2038:A2043"/>
    <mergeCell ref="B2038:C2043"/>
    <mergeCell ref="D2038:D2043"/>
    <mergeCell ref="E2038:E2043"/>
    <mergeCell ref="F2038:F2043"/>
    <mergeCell ref="G2038:G2043"/>
    <mergeCell ref="H2038:H2043"/>
    <mergeCell ref="L2038:L2043"/>
    <mergeCell ref="M2038:M2043"/>
    <mergeCell ref="L2032:L2034"/>
    <mergeCell ref="M2032:M2034"/>
    <mergeCell ref="A2035:A2037"/>
    <mergeCell ref="B2035:C2037"/>
    <mergeCell ref="D2035:D2037"/>
    <mergeCell ref="E2035:E2037"/>
    <mergeCell ref="F2035:F2037"/>
    <mergeCell ref="G2035:G2037"/>
    <mergeCell ref="H2035:H2037"/>
    <mergeCell ref="L2035:L2037"/>
    <mergeCell ref="H2029:H2031"/>
    <mergeCell ref="L2029:L2031"/>
    <mergeCell ref="M2029:M2031"/>
    <mergeCell ref="A2032:A2034"/>
    <mergeCell ref="B2032:C2034"/>
    <mergeCell ref="D2032:D2034"/>
    <mergeCell ref="E2032:E2034"/>
    <mergeCell ref="F2032:F2034"/>
    <mergeCell ref="G2032:G2034"/>
    <mergeCell ref="H2032:H2034"/>
    <mergeCell ref="A2029:A2031"/>
    <mergeCell ref="B2029:C2031"/>
    <mergeCell ref="D2029:D2031"/>
    <mergeCell ref="E2029:E2031"/>
    <mergeCell ref="F2029:F2031"/>
    <mergeCell ref="G2029:G2031"/>
    <mergeCell ref="M2018:M2023"/>
    <mergeCell ref="A2024:A2028"/>
    <mergeCell ref="B2024:C2028"/>
    <mergeCell ref="D2024:D2028"/>
    <mergeCell ref="E2024:E2028"/>
    <mergeCell ref="F2024:F2028"/>
    <mergeCell ref="G2024:G2028"/>
    <mergeCell ref="H2024:H2028"/>
    <mergeCell ref="L2024:L2028"/>
    <mergeCell ref="M2024:M2028"/>
    <mergeCell ref="L2014:L2017"/>
    <mergeCell ref="M2014:M2017"/>
    <mergeCell ref="A2018:A2023"/>
    <mergeCell ref="B2018:C2023"/>
    <mergeCell ref="D2018:D2023"/>
    <mergeCell ref="E2018:E2023"/>
    <mergeCell ref="F2018:F2023"/>
    <mergeCell ref="G2018:G2023"/>
    <mergeCell ref="H2018:H2023"/>
    <mergeCell ref="L2018:L2023"/>
    <mergeCell ref="H2008:H2013"/>
    <mergeCell ref="L2008:L2013"/>
    <mergeCell ref="M2008:M2013"/>
    <mergeCell ref="A2014:A2017"/>
    <mergeCell ref="B2014:C2017"/>
    <mergeCell ref="D2014:D2017"/>
    <mergeCell ref="E2014:E2017"/>
    <mergeCell ref="F2014:F2017"/>
    <mergeCell ref="G2014:G2017"/>
    <mergeCell ref="H2014:H2017"/>
    <mergeCell ref="A2008:A2013"/>
    <mergeCell ref="B2008:C2013"/>
    <mergeCell ref="D2008:D2013"/>
    <mergeCell ref="E2008:E2013"/>
    <mergeCell ref="F2008:F2013"/>
    <mergeCell ref="G2008:G2013"/>
    <mergeCell ref="M1996:M2001"/>
    <mergeCell ref="A2002:A2007"/>
    <mergeCell ref="B2002:C2007"/>
    <mergeCell ref="D2002:D2007"/>
    <mergeCell ref="E2002:E2007"/>
    <mergeCell ref="F2002:F2007"/>
    <mergeCell ref="G2002:G2007"/>
    <mergeCell ref="H2002:H2007"/>
    <mergeCell ref="L2002:L2007"/>
    <mergeCell ref="M2002:M2007"/>
    <mergeCell ref="L1991:L1995"/>
    <mergeCell ref="M1991:M1995"/>
    <mergeCell ref="A1996:A2001"/>
    <mergeCell ref="B1996:C2001"/>
    <mergeCell ref="D1996:D2001"/>
    <mergeCell ref="E1996:E2001"/>
    <mergeCell ref="F1996:F2001"/>
    <mergeCell ref="G1996:G2001"/>
    <mergeCell ref="H1996:H2001"/>
    <mergeCell ref="L1996:L2001"/>
    <mergeCell ref="H1987:H1990"/>
    <mergeCell ref="L1987:L1990"/>
    <mergeCell ref="M1987:M1990"/>
    <mergeCell ref="A1991:A1995"/>
    <mergeCell ref="B1991:C1995"/>
    <mergeCell ref="D1991:D1995"/>
    <mergeCell ref="E1991:E1995"/>
    <mergeCell ref="F1991:F1995"/>
    <mergeCell ref="G1991:G1995"/>
    <mergeCell ref="H1991:H1995"/>
    <mergeCell ref="G1982:G1986"/>
    <mergeCell ref="H1982:H1986"/>
    <mergeCell ref="L1982:L1986"/>
    <mergeCell ref="M1982:M1986"/>
    <mergeCell ref="A1987:A1990"/>
    <mergeCell ref="B1987:C1990"/>
    <mergeCell ref="D1987:D1990"/>
    <mergeCell ref="E1987:E1990"/>
    <mergeCell ref="F1987:F1990"/>
    <mergeCell ref="G1987:G1990"/>
    <mergeCell ref="B1981:C1981"/>
    <mergeCell ref="A1982:A1986"/>
    <mergeCell ref="B1982:C1986"/>
    <mergeCell ref="D1982:D1986"/>
    <mergeCell ref="E1982:E1986"/>
    <mergeCell ref="F1982:F1986"/>
    <mergeCell ref="M1967:M1974"/>
    <mergeCell ref="A1975:A1980"/>
    <mergeCell ref="B1975:C1980"/>
    <mergeCell ref="D1975:D1980"/>
    <mergeCell ref="E1975:E1980"/>
    <mergeCell ref="F1975:F1980"/>
    <mergeCell ref="G1975:G1980"/>
    <mergeCell ref="H1975:H1980"/>
    <mergeCell ref="L1975:L1980"/>
    <mergeCell ref="M1975:M1980"/>
    <mergeCell ref="L1964:L1966"/>
    <mergeCell ref="M1964:M1966"/>
    <mergeCell ref="A1967:A1974"/>
    <mergeCell ref="B1967:C1974"/>
    <mergeCell ref="D1967:D1974"/>
    <mergeCell ref="E1967:E1974"/>
    <mergeCell ref="F1967:F1974"/>
    <mergeCell ref="G1967:G1974"/>
    <mergeCell ref="H1967:H1974"/>
    <mergeCell ref="L1967:L1974"/>
    <mergeCell ref="H1961:H1963"/>
    <mergeCell ref="L1961:L1963"/>
    <mergeCell ref="M1961:M1963"/>
    <mergeCell ref="A1964:A1966"/>
    <mergeCell ref="B1964:C1966"/>
    <mergeCell ref="D1964:D1966"/>
    <mergeCell ref="E1964:E1966"/>
    <mergeCell ref="F1964:F1966"/>
    <mergeCell ref="G1964:G1966"/>
    <mergeCell ref="H1964:H1966"/>
    <mergeCell ref="A1961:A1963"/>
    <mergeCell ref="B1961:C1963"/>
    <mergeCell ref="D1961:D1963"/>
    <mergeCell ref="E1961:E1963"/>
    <mergeCell ref="F1961:F1963"/>
    <mergeCell ref="G1961:G1963"/>
    <mergeCell ref="E1956:E1960"/>
    <mergeCell ref="F1956:F1960"/>
    <mergeCell ref="G1956:G1960"/>
    <mergeCell ref="H1956:H1960"/>
    <mergeCell ref="L1956:L1960"/>
    <mergeCell ref="M1956:M1960"/>
    <mergeCell ref="B1953:C1953"/>
    <mergeCell ref="B1954:C1954"/>
    <mergeCell ref="B1955:C1955"/>
    <mergeCell ref="A1956:A1960"/>
    <mergeCell ref="B1956:C1960"/>
    <mergeCell ref="D1956:D1960"/>
    <mergeCell ref="M1927:M1944"/>
    <mergeCell ref="A1945:A1952"/>
    <mergeCell ref="B1945:C1952"/>
    <mergeCell ref="D1945:D1952"/>
    <mergeCell ref="E1945:E1952"/>
    <mergeCell ref="F1945:F1952"/>
    <mergeCell ref="G1945:G1952"/>
    <mergeCell ref="H1945:H1952"/>
    <mergeCell ref="L1945:L1952"/>
    <mergeCell ref="M1945:M1952"/>
    <mergeCell ref="L1924:L1926"/>
    <mergeCell ref="M1924:M1926"/>
    <mergeCell ref="A1927:A1944"/>
    <mergeCell ref="B1927:C1944"/>
    <mergeCell ref="D1927:D1944"/>
    <mergeCell ref="E1927:E1944"/>
    <mergeCell ref="F1927:F1944"/>
    <mergeCell ref="G1927:G1944"/>
    <mergeCell ref="H1927:H1944"/>
    <mergeCell ref="L1927:L1944"/>
    <mergeCell ref="H1921:H1923"/>
    <mergeCell ref="L1921:L1923"/>
    <mergeCell ref="M1921:M1923"/>
    <mergeCell ref="A1924:A1926"/>
    <mergeCell ref="B1924:C1926"/>
    <mergeCell ref="D1924:D1926"/>
    <mergeCell ref="E1924:E1926"/>
    <mergeCell ref="F1924:F1926"/>
    <mergeCell ref="G1924:G1926"/>
    <mergeCell ref="H1924:H1926"/>
    <mergeCell ref="A1921:A1923"/>
    <mergeCell ref="B1921:C1923"/>
    <mergeCell ref="D1921:D1923"/>
    <mergeCell ref="E1921:E1923"/>
    <mergeCell ref="F1921:F1923"/>
    <mergeCell ref="G1921:G1923"/>
    <mergeCell ref="M1913:M1916"/>
    <mergeCell ref="A1917:A1920"/>
    <mergeCell ref="B1917:C1920"/>
    <mergeCell ref="D1917:D1920"/>
    <mergeCell ref="E1917:E1920"/>
    <mergeCell ref="F1917:F1920"/>
    <mergeCell ref="G1917:G1920"/>
    <mergeCell ref="H1917:H1920"/>
    <mergeCell ref="L1917:L1920"/>
    <mergeCell ref="M1917:M1920"/>
    <mergeCell ref="L1909:L1912"/>
    <mergeCell ref="M1909:M1912"/>
    <mergeCell ref="A1913:A1916"/>
    <mergeCell ref="B1913:C1916"/>
    <mergeCell ref="D1913:D1916"/>
    <mergeCell ref="E1913:E1916"/>
    <mergeCell ref="F1913:F1916"/>
    <mergeCell ref="G1913:G1916"/>
    <mergeCell ref="H1913:H1916"/>
    <mergeCell ref="L1913:L1916"/>
    <mergeCell ref="H1905:H1908"/>
    <mergeCell ref="L1905:L1908"/>
    <mergeCell ref="M1905:M1908"/>
    <mergeCell ref="A1909:A1912"/>
    <mergeCell ref="B1909:C1912"/>
    <mergeCell ref="D1909:D1912"/>
    <mergeCell ref="E1909:E1912"/>
    <mergeCell ref="F1909:F1912"/>
    <mergeCell ref="G1909:G1912"/>
    <mergeCell ref="H1909:H1912"/>
    <mergeCell ref="A1905:A1908"/>
    <mergeCell ref="B1905:C1908"/>
    <mergeCell ref="D1905:D1908"/>
    <mergeCell ref="E1905:E1908"/>
    <mergeCell ref="F1905:F1908"/>
    <mergeCell ref="G1905:G1908"/>
    <mergeCell ref="M1897:M1900"/>
    <mergeCell ref="A1901:A1904"/>
    <mergeCell ref="B1901:C1904"/>
    <mergeCell ref="D1901:D1904"/>
    <mergeCell ref="E1901:E1904"/>
    <mergeCell ref="F1901:F1904"/>
    <mergeCell ref="G1901:G1904"/>
    <mergeCell ref="H1901:H1904"/>
    <mergeCell ref="L1901:L1904"/>
    <mergeCell ref="M1901:M1904"/>
    <mergeCell ref="L1893:L1896"/>
    <mergeCell ref="M1893:M1896"/>
    <mergeCell ref="A1897:A1900"/>
    <mergeCell ref="B1897:C1900"/>
    <mergeCell ref="D1897:D1900"/>
    <mergeCell ref="E1897:E1900"/>
    <mergeCell ref="F1897:F1900"/>
    <mergeCell ref="G1897:G1900"/>
    <mergeCell ref="H1897:H1900"/>
    <mergeCell ref="L1897:L1900"/>
    <mergeCell ref="H1889:H1892"/>
    <mergeCell ref="L1889:L1892"/>
    <mergeCell ref="M1889:M1892"/>
    <mergeCell ref="A1893:A1896"/>
    <mergeCell ref="B1893:C1896"/>
    <mergeCell ref="D1893:D1896"/>
    <mergeCell ref="E1893:E1896"/>
    <mergeCell ref="F1893:F1896"/>
    <mergeCell ref="G1893:G1896"/>
    <mergeCell ref="H1893:H1896"/>
    <mergeCell ref="A1889:A1892"/>
    <mergeCell ref="B1889:C1892"/>
    <mergeCell ref="D1889:D1892"/>
    <mergeCell ref="E1889:E1892"/>
    <mergeCell ref="F1889:F1892"/>
    <mergeCell ref="G1889:G1892"/>
    <mergeCell ref="M1883:M1885"/>
    <mergeCell ref="A1886:A1888"/>
    <mergeCell ref="B1886:C1888"/>
    <mergeCell ref="D1886:D1888"/>
    <mergeCell ref="E1886:E1888"/>
    <mergeCell ref="F1886:F1888"/>
    <mergeCell ref="G1886:G1888"/>
    <mergeCell ref="H1886:H1888"/>
    <mergeCell ref="L1886:L1888"/>
    <mergeCell ref="M1886:M1888"/>
    <mergeCell ref="M1878:M1881"/>
    <mergeCell ref="B1882:C1882"/>
    <mergeCell ref="A1883:A1885"/>
    <mergeCell ref="B1883:C1885"/>
    <mergeCell ref="D1883:D1885"/>
    <mergeCell ref="E1883:E1885"/>
    <mergeCell ref="F1883:F1885"/>
    <mergeCell ref="G1883:G1885"/>
    <mergeCell ref="H1883:H1885"/>
    <mergeCell ref="L1883:L1885"/>
    <mergeCell ref="L1875:L1877"/>
    <mergeCell ref="M1875:M1877"/>
    <mergeCell ref="A1878:A1881"/>
    <mergeCell ref="B1878:C1881"/>
    <mergeCell ref="D1878:D1881"/>
    <mergeCell ref="E1878:E1881"/>
    <mergeCell ref="F1878:F1881"/>
    <mergeCell ref="G1878:G1881"/>
    <mergeCell ref="H1878:H1881"/>
    <mergeCell ref="L1878:L1881"/>
    <mergeCell ref="M1870:M1872"/>
    <mergeCell ref="B1873:C1873"/>
    <mergeCell ref="B1874:C1874"/>
    <mergeCell ref="A1875:A1877"/>
    <mergeCell ref="B1875:C1877"/>
    <mergeCell ref="D1875:D1877"/>
    <mergeCell ref="E1875:E1877"/>
    <mergeCell ref="F1875:F1877"/>
    <mergeCell ref="G1875:G1877"/>
    <mergeCell ref="H1875:H1877"/>
    <mergeCell ref="L1865:L1869"/>
    <mergeCell ref="M1865:M1869"/>
    <mergeCell ref="A1870:A1872"/>
    <mergeCell ref="B1870:C1872"/>
    <mergeCell ref="D1870:D1872"/>
    <mergeCell ref="E1870:E1872"/>
    <mergeCell ref="F1870:F1872"/>
    <mergeCell ref="G1870:G1872"/>
    <mergeCell ref="H1870:H1872"/>
    <mergeCell ref="L1870:L1872"/>
    <mergeCell ref="H1859:H1864"/>
    <mergeCell ref="L1859:L1864"/>
    <mergeCell ref="M1859:M1864"/>
    <mergeCell ref="A1865:A1869"/>
    <mergeCell ref="B1865:C1869"/>
    <mergeCell ref="D1865:D1869"/>
    <mergeCell ref="E1865:E1869"/>
    <mergeCell ref="F1865:F1869"/>
    <mergeCell ref="G1865:G1869"/>
    <mergeCell ref="H1865:H1869"/>
    <mergeCell ref="A1859:A1864"/>
    <mergeCell ref="B1859:C1864"/>
    <mergeCell ref="D1859:D1864"/>
    <mergeCell ref="E1859:E1864"/>
    <mergeCell ref="F1859:F1864"/>
    <mergeCell ref="G1859:G1864"/>
    <mergeCell ref="M1850:M1853"/>
    <mergeCell ref="A1854:A1858"/>
    <mergeCell ref="B1854:C1858"/>
    <mergeCell ref="D1854:D1858"/>
    <mergeCell ref="E1854:E1858"/>
    <mergeCell ref="F1854:F1858"/>
    <mergeCell ref="G1854:G1858"/>
    <mergeCell ref="H1854:H1858"/>
    <mergeCell ref="L1854:L1858"/>
    <mergeCell ref="M1854:M1858"/>
    <mergeCell ref="L1843:L1849"/>
    <mergeCell ref="M1843:M1849"/>
    <mergeCell ref="A1850:A1853"/>
    <mergeCell ref="B1850:C1853"/>
    <mergeCell ref="D1850:D1853"/>
    <mergeCell ref="E1850:E1853"/>
    <mergeCell ref="F1850:F1853"/>
    <mergeCell ref="G1850:G1853"/>
    <mergeCell ref="H1850:H1853"/>
    <mergeCell ref="L1850:L1853"/>
    <mergeCell ref="H1839:H1842"/>
    <mergeCell ref="L1839:L1842"/>
    <mergeCell ref="M1839:M1842"/>
    <mergeCell ref="A1843:A1849"/>
    <mergeCell ref="B1843:C1849"/>
    <mergeCell ref="D1843:D1849"/>
    <mergeCell ref="E1843:E1849"/>
    <mergeCell ref="F1843:F1849"/>
    <mergeCell ref="G1843:G1849"/>
    <mergeCell ref="H1843:H1849"/>
    <mergeCell ref="A1839:A1842"/>
    <mergeCell ref="B1839:C1842"/>
    <mergeCell ref="D1839:D1842"/>
    <mergeCell ref="E1839:E1842"/>
    <mergeCell ref="F1839:F1842"/>
    <mergeCell ref="G1839:G1842"/>
    <mergeCell ref="M1830:M1834"/>
    <mergeCell ref="A1835:A1838"/>
    <mergeCell ref="B1835:C1838"/>
    <mergeCell ref="D1835:D1838"/>
    <mergeCell ref="E1835:E1838"/>
    <mergeCell ref="F1835:F1838"/>
    <mergeCell ref="G1835:G1838"/>
    <mergeCell ref="H1835:H1838"/>
    <mergeCell ref="L1835:L1838"/>
    <mergeCell ref="M1835:M1838"/>
    <mergeCell ref="L1826:L1829"/>
    <mergeCell ref="M1826:M1829"/>
    <mergeCell ref="A1830:A1834"/>
    <mergeCell ref="B1830:C1834"/>
    <mergeCell ref="D1830:D1834"/>
    <mergeCell ref="E1830:E1834"/>
    <mergeCell ref="F1830:F1834"/>
    <mergeCell ref="G1830:G1834"/>
    <mergeCell ref="H1830:H1834"/>
    <mergeCell ref="L1830:L1834"/>
    <mergeCell ref="H1822:H1825"/>
    <mergeCell ref="L1822:L1825"/>
    <mergeCell ref="M1822:M1825"/>
    <mergeCell ref="A1826:A1829"/>
    <mergeCell ref="B1826:C1829"/>
    <mergeCell ref="D1826:D1829"/>
    <mergeCell ref="E1826:E1829"/>
    <mergeCell ref="F1826:F1829"/>
    <mergeCell ref="G1826:G1829"/>
    <mergeCell ref="H1826:H1829"/>
    <mergeCell ref="A1822:A1825"/>
    <mergeCell ref="B1822:C1825"/>
    <mergeCell ref="D1822:D1825"/>
    <mergeCell ref="E1822:E1825"/>
    <mergeCell ref="F1822:F1825"/>
    <mergeCell ref="G1822:G1825"/>
    <mergeCell ref="M1813:M1816"/>
    <mergeCell ref="A1817:A1821"/>
    <mergeCell ref="B1817:C1821"/>
    <mergeCell ref="D1817:D1821"/>
    <mergeCell ref="E1817:E1821"/>
    <mergeCell ref="F1817:F1821"/>
    <mergeCell ref="G1817:G1821"/>
    <mergeCell ref="H1817:H1821"/>
    <mergeCell ref="L1817:L1821"/>
    <mergeCell ref="M1817:M1821"/>
    <mergeCell ref="L1809:L1812"/>
    <mergeCell ref="M1809:M1812"/>
    <mergeCell ref="A1813:A1816"/>
    <mergeCell ref="B1813:C1816"/>
    <mergeCell ref="D1813:D1816"/>
    <mergeCell ref="E1813:E1816"/>
    <mergeCell ref="F1813:F1816"/>
    <mergeCell ref="G1813:G1816"/>
    <mergeCell ref="H1813:H1816"/>
    <mergeCell ref="L1813:L1816"/>
    <mergeCell ref="H1804:H1808"/>
    <mergeCell ref="L1804:L1808"/>
    <mergeCell ref="M1804:M1808"/>
    <mergeCell ref="A1809:A1812"/>
    <mergeCell ref="B1809:C1812"/>
    <mergeCell ref="D1809:D1812"/>
    <mergeCell ref="E1809:E1812"/>
    <mergeCell ref="F1809:F1812"/>
    <mergeCell ref="G1809:G1812"/>
    <mergeCell ref="H1809:H1812"/>
    <mergeCell ref="A1804:A1808"/>
    <mergeCell ref="B1804:C1808"/>
    <mergeCell ref="D1804:D1808"/>
    <mergeCell ref="E1804:E1808"/>
    <mergeCell ref="F1804:F1808"/>
    <mergeCell ref="G1804:G1808"/>
    <mergeCell ref="M1788:M1794"/>
    <mergeCell ref="A1795:A1803"/>
    <mergeCell ref="B1795:C1803"/>
    <mergeCell ref="D1795:D1803"/>
    <mergeCell ref="E1795:E1803"/>
    <mergeCell ref="F1795:F1803"/>
    <mergeCell ref="G1795:G1803"/>
    <mergeCell ref="H1795:H1803"/>
    <mergeCell ref="L1795:L1803"/>
    <mergeCell ref="L1782:L1787"/>
    <mergeCell ref="M1782:M1787"/>
    <mergeCell ref="A1788:A1794"/>
    <mergeCell ref="B1788:C1794"/>
    <mergeCell ref="D1788:D1794"/>
    <mergeCell ref="E1788:E1794"/>
    <mergeCell ref="F1788:F1794"/>
    <mergeCell ref="G1788:G1794"/>
    <mergeCell ref="H1788:H1794"/>
    <mergeCell ref="L1788:L1794"/>
    <mergeCell ref="H1777:H1781"/>
    <mergeCell ref="L1777:L1781"/>
    <mergeCell ref="M1777:M1781"/>
    <mergeCell ref="A1782:A1787"/>
    <mergeCell ref="B1782:C1787"/>
    <mergeCell ref="D1782:D1787"/>
    <mergeCell ref="E1782:E1787"/>
    <mergeCell ref="F1782:F1787"/>
    <mergeCell ref="G1782:G1787"/>
    <mergeCell ref="H1782:H1787"/>
    <mergeCell ref="A1777:A1781"/>
    <mergeCell ref="B1777:C1781"/>
    <mergeCell ref="D1777:D1781"/>
    <mergeCell ref="E1777:E1781"/>
    <mergeCell ref="F1777:F1781"/>
    <mergeCell ref="G1777:G1781"/>
    <mergeCell ref="M1771:M1773"/>
    <mergeCell ref="A1774:A1776"/>
    <mergeCell ref="B1774:C1776"/>
    <mergeCell ref="D1774:D1776"/>
    <mergeCell ref="E1774:E1776"/>
    <mergeCell ref="F1774:F1776"/>
    <mergeCell ref="G1774:G1776"/>
    <mergeCell ref="H1774:H1776"/>
    <mergeCell ref="L1774:L1776"/>
    <mergeCell ref="M1774:M1776"/>
    <mergeCell ref="L1766:L1770"/>
    <mergeCell ref="M1766:M1770"/>
    <mergeCell ref="A1771:A1773"/>
    <mergeCell ref="B1771:C1773"/>
    <mergeCell ref="D1771:D1773"/>
    <mergeCell ref="E1771:E1773"/>
    <mergeCell ref="F1771:F1773"/>
    <mergeCell ref="G1771:G1773"/>
    <mergeCell ref="H1771:H1773"/>
    <mergeCell ref="L1771:L1773"/>
    <mergeCell ref="M1761:M1763"/>
    <mergeCell ref="B1764:C1764"/>
    <mergeCell ref="B1765:C1765"/>
    <mergeCell ref="A1766:A1770"/>
    <mergeCell ref="B1766:C1770"/>
    <mergeCell ref="D1766:D1770"/>
    <mergeCell ref="E1766:E1770"/>
    <mergeCell ref="F1766:F1770"/>
    <mergeCell ref="G1766:G1770"/>
    <mergeCell ref="H1766:H1770"/>
    <mergeCell ref="L1757:L1760"/>
    <mergeCell ref="M1757:M1760"/>
    <mergeCell ref="A1761:A1763"/>
    <mergeCell ref="B1761:C1763"/>
    <mergeCell ref="D1761:D1763"/>
    <mergeCell ref="E1761:E1763"/>
    <mergeCell ref="F1761:F1763"/>
    <mergeCell ref="G1761:G1763"/>
    <mergeCell ref="H1761:H1763"/>
    <mergeCell ref="L1761:L1763"/>
    <mergeCell ref="H1750:H1756"/>
    <mergeCell ref="L1750:L1756"/>
    <mergeCell ref="M1750:M1756"/>
    <mergeCell ref="A1757:A1760"/>
    <mergeCell ref="B1757:C1760"/>
    <mergeCell ref="D1757:D1760"/>
    <mergeCell ref="E1757:E1760"/>
    <mergeCell ref="F1757:F1760"/>
    <mergeCell ref="G1757:G1760"/>
    <mergeCell ref="H1757:H1760"/>
    <mergeCell ref="A1750:A1756"/>
    <mergeCell ref="B1750:C1756"/>
    <mergeCell ref="D1750:D1756"/>
    <mergeCell ref="E1750:E1756"/>
    <mergeCell ref="F1750:F1756"/>
    <mergeCell ref="G1750:G1756"/>
    <mergeCell ref="M1738:M1742"/>
    <mergeCell ref="A1743:A1749"/>
    <mergeCell ref="B1743:C1749"/>
    <mergeCell ref="D1743:D1749"/>
    <mergeCell ref="E1743:E1749"/>
    <mergeCell ref="F1743:F1749"/>
    <mergeCell ref="G1743:G1749"/>
    <mergeCell ref="H1743:H1749"/>
    <mergeCell ref="L1743:L1749"/>
    <mergeCell ref="M1743:M1749"/>
    <mergeCell ref="L1733:L1737"/>
    <mergeCell ref="M1733:M1737"/>
    <mergeCell ref="A1738:A1742"/>
    <mergeCell ref="B1738:C1742"/>
    <mergeCell ref="D1738:D1742"/>
    <mergeCell ref="E1738:E1742"/>
    <mergeCell ref="F1738:F1742"/>
    <mergeCell ref="G1738:G1742"/>
    <mergeCell ref="H1738:H1742"/>
    <mergeCell ref="L1738:L1742"/>
    <mergeCell ref="H1726:H1732"/>
    <mergeCell ref="L1726:L1732"/>
    <mergeCell ref="M1726:M1732"/>
    <mergeCell ref="A1733:A1737"/>
    <mergeCell ref="B1733:C1737"/>
    <mergeCell ref="D1733:D1737"/>
    <mergeCell ref="E1733:E1737"/>
    <mergeCell ref="F1733:F1737"/>
    <mergeCell ref="G1733:G1737"/>
    <mergeCell ref="H1733:H1737"/>
    <mergeCell ref="A1726:A1732"/>
    <mergeCell ref="B1726:C1732"/>
    <mergeCell ref="D1726:D1732"/>
    <mergeCell ref="E1726:E1732"/>
    <mergeCell ref="F1726:F1732"/>
    <mergeCell ref="G1726:G1732"/>
    <mergeCell ref="M1716:M1722"/>
    <mergeCell ref="A1723:A1725"/>
    <mergeCell ref="B1723:C1725"/>
    <mergeCell ref="D1723:D1725"/>
    <mergeCell ref="E1723:E1725"/>
    <mergeCell ref="F1723:F1725"/>
    <mergeCell ref="G1723:G1725"/>
    <mergeCell ref="H1723:H1725"/>
    <mergeCell ref="L1723:L1725"/>
    <mergeCell ref="M1723:M1725"/>
    <mergeCell ref="L1708:L1715"/>
    <mergeCell ref="M1708:M1715"/>
    <mergeCell ref="A1716:A1722"/>
    <mergeCell ref="B1716:C1722"/>
    <mergeCell ref="D1716:D1722"/>
    <mergeCell ref="E1716:E1722"/>
    <mergeCell ref="F1716:F1722"/>
    <mergeCell ref="G1716:G1722"/>
    <mergeCell ref="H1716:H1722"/>
    <mergeCell ref="L1716:L1722"/>
    <mergeCell ref="H1703:H1707"/>
    <mergeCell ref="L1703:L1707"/>
    <mergeCell ref="M1703:M1707"/>
    <mergeCell ref="A1708:A1715"/>
    <mergeCell ref="B1708:C1715"/>
    <mergeCell ref="D1708:D1715"/>
    <mergeCell ref="E1708:E1715"/>
    <mergeCell ref="F1708:F1715"/>
    <mergeCell ref="G1708:G1715"/>
    <mergeCell ref="H1708:H1715"/>
    <mergeCell ref="A1703:A1707"/>
    <mergeCell ref="B1703:C1707"/>
    <mergeCell ref="D1703:D1707"/>
    <mergeCell ref="E1703:E1707"/>
    <mergeCell ref="F1703:F1707"/>
    <mergeCell ref="G1703:G1707"/>
    <mergeCell ref="M1697:M1699"/>
    <mergeCell ref="A1700:A1702"/>
    <mergeCell ref="B1700:C1702"/>
    <mergeCell ref="D1700:D1702"/>
    <mergeCell ref="E1700:E1702"/>
    <mergeCell ref="F1700:F1702"/>
    <mergeCell ref="G1700:G1702"/>
    <mergeCell ref="H1700:H1702"/>
    <mergeCell ref="L1700:L1702"/>
    <mergeCell ref="M1700:M1702"/>
    <mergeCell ref="L1690:L1696"/>
    <mergeCell ref="M1690:M1696"/>
    <mergeCell ref="A1697:A1699"/>
    <mergeCell ref="B1697:C1699"/>
    <mergeCell ref="D1697:D1699"/>
    <mergeCell ref="E1697:E1699"/>
    <mergeCell ref="F1697:F1699"/>
    <mergeCell ref="G1697:G1699"/>
    <mergeCell ref="H1697:H1699"/>
    <mergeCell ref="L1697:L1699"/>
    <mergeCell ref="H1682:H1689"/>
    <mergeCell ref="L1682:L1689"/>
    <mergeCell ref="M1682:M1689"/>
    <mergeCell ref="A1690:A1696"/>
    <mergeCell ref="B1690:C1696"/>
    <mergeCell ref="D1690:D1696"/>
    <mergeCell ref="E1690:E1696"/>
    <mergeCell ref="F1690:F1696"/>
    <mergeCell ref="G1690:G1696"/>
    <mergeCell ref="H1690:H1696"/>
    <mergeCell ref="A1682:A1689"/>
    <mergeCell ref="B1682:C1689"/>
    <mergeCell ref="D1682:D1689"/>
    <mergeCell ref="E1682:E1689"/>
    <mergeCell ref="F1682:F1689"/>
    <mergeCell ref="G1682:G1689"/>
    <mergeCell ref="M1668:M1675"/>
    <mergeCell ref="A1676:A1681"/>
    <mergeCell ref="B1676:C1681"/>
    <mergeCell ref="D1676:D1681"/>
    <mergeCell ref="E1676:E1681"/>
    <mergeCell ref="F1676:F1681"/>
    <mergeCell ref="G1676:G1681"/>
    <mergeCell ref="H1676:H1681"/>
    <mergeCell ref="L1676:L1681"/>
    <mergeCell ref="M1676:M1681"/>
    <mergeCell ref="L1664:L1667"/>
    <mergeCell ref="M1664:M1667"/>
    <mergeCell ref="A1668:A1675"/>
    <mergeCell ref="B1668:C1675"/>
    <mergeCell ref="D1668:D1675"/>
    <mergeCell ref="E1668:E1675"/>
    <mergeCell ref="F1668:F1675"/>
    <mergeCell ref="G1668:G1675"/>
    <mergeCell ref="H1668:H1675"/>
    <mergeCell ref="L1668:L1675"/>
    <mergeCell ref="H1656:H1663"/>
    <mergeCell ref="L1656:L1663"/>
    <mergeCell ref="M1656:M1663"/>
    <mergeCell ref="A1664:A1667"/>
    <mergeCell ref="B1664:C1667"/>
    <mergeCell ref="D1664:D1667"/>
    <mergeCell ref="E1664:E1667"/>
    <mergeCell ref="F1664:F1667"/>
    <mergeCell ref="G1664:G1667"/>
    <mergeCell ref="H1664:H1667"/>
    <mergeCell ref="G1652:G1655"/>
    <mergeCell ref="H1652:H1655"/>
    <mergeCell ref="L1652:L1655"/>
    <mergeCell ref="M1652:M1655"/>
    <mergeCell ref="A1656:A1663"/>
    <mergeCell ref="B1656:C1663"/>
    <mergeCell ref="D1656:D1663"/>
    <mergeCell ref="E1656:E1663"/>
    <mergeCell ref="F1656:F1663"/>
    <mergeCell ref="G1656:G1663"/>
    <mergeCell ref="F1647:F1651"/>
    <mergeCell ref="G1647:G1651"/>
    <mergeCell ref="H1647:H1651"/>
    <mergeCell ref="L1647:L1651"/>
    <mergeCell ref="M1647:M1651"/>
    <mergeCell ref="A1652:A1655"/>
    <mergeCell ref="B1652:C1655"/>
    <mergeCell ref="D1652:D1655"/>
    <mergeCell ref="E1652:E1655"/>
    <mergeCell ref="F1652:F1655"/>
    <mergeCell ref="B1645:C1645"/>
    <mergeCell ref="B1646:C1646"/>
    <mergeCell ref="A1647:A1651"/>
    <mergeCell ref="B1647:C1651"/>
    <mergeCell ref="D1647:D1651"/>
    <mergeCell ref="E1647:E1651"/>
    <mergeCell ref="M1635:M1639"/>
    <mergeCell ref="A1640:A1644"/>
    <mergeCell ref="B1640:C1644"/>
    <mergeCell ref="D1640:D1644"/>
    <mergeCell ref="E1640:E1644"/>
    <mergeCell ref="F1640:F1644"/>
    <mergeCell ref="G1640:G1644"/>
    <mergeCell ref="H1640:H1644"/>
    <mergeCell ref="L1640:L1644"/>
    <mergeCell ref="M1640:M1644"/>
    <mergeCell ref="L1631:L1634"/>
    <mergeCell ref="M1631:M1634"/>
    <mergeCell ref="A1635:A1639"/>
    <mergeCell ref="B1635:C1639"/>
    <mergeCell ref="D1635:D1639"/>
    <mergeCell ref="E1635:E1639"/>
    <mergeCell ref="F1635:F1639"/>
    <mergeCell ref="G1635:G1639"/>
    <mergeCell ref="H1635:H1639"/>
    <mergeCell ref="L1635:L1639"/>
    <mergeCell ref="H1626:H1630"/>
    <mergeCell ref="L1626:L1630"/>
    <mergeCell ref="M1626:M1630"/>
    <mergeCell ref="A1631:A1634"/>
    <mergeCell ref="B1631:C1634"/>
    <mergeCell ref="D1631:D1634"/>
    <mergeCell ref="E1631:E1634"/>
    <mergeCell ref="F1631:F1634"/>
    <mergeCell ref="G1631:G1634"/>
    <mergeCell ref="H1631:H1634"/>
    <mergeCell ref="A1626:A1630"/>
    <mergeCell ref="B1626:C1630"/>
    <mergeCell ref="D1626:D1630"/>
    <mergeCell ref="E1626:E1630"/>
    <mergeCell ref="F1626:F1630"/>
    <mergeCell ref="G1626:G1630"/>
    <mergeCell ref="M1617:M1621"/>
    <mergeCell ref="A1622:A1625"/>
    <mergeCell ref="B1622:C1625"/>
    <mergeCell ref="D1622:D1625"/>
    <mergeCell ref="E1622:E1625"/>
    <mergeCell ref="F1622:F1625"/>
    <mergeCell ref="G1622:G1625"/>
    <mergeCell ref="H1622:H1625"/>
    <mergeCell ref="L1622:L1625"/>
    <mergeCell ref="M1622:M1625"/>
    <mergeCell ref="L1614:L1616"/>
    <mergeCell ref="M1614:M1616"/>
    <mergeCell ref="A1617:A1621"/>
    <mergeCell ref="B1617:C1621"/>
    <mergeCell ref="D1617:D1621"/>
    <mergeCell ref="E1617:E1621"/>
    <mergeCell ref="F1617:F1621"/>
    <mergeCell ref="G1617:G1621"/>
    <mergeCell ref="H1617:H1621"/>
    <mergeCell ref="L1617:L1621"/>
    <mergeCell ref="H1609:H1613"/>
    <mergeCell ref="L1609:L1613"/>
    <mergeCell ref="M1609:M1613"/>
    <mergeCell ref="A1614:A1616"/>
    <mergeCell ref="B1614:C1616"/>
    <mergeCell ref="D1614:D1616"/>
    <mergeCell ref="E1614:E1616"/>
    <mergeCell ref="F1614:F1616"/>
    <mergeCell ref="G1614:G1616"/>
    <mergeCell ref="H1614:H1616"/>
    <mergeCell ref="A1609:A1613"/>
    <mergeCell ref="B1609:C1613"/>
    <mergeCell ref="D1609:D1613"/>
    <mergeCell ref="E1609:E1613"/>
    <mergeCell ref="F1609:F1613"/>
    <mergeCell ref="G1609:G1613"/>
    <mergeCell ref="M1600:M1603"/>
    <mergeCell ref="A1604:A1608"/>
    <mergeCell ref="B1604:C1608"/>
    <mergeCell ref="D1604:D1608"/>
    <mergeCell ref="E1604:E1608"/>
    <mergeCell ref="F1604:F1608"/>
    <mergeCell ref="G1604:G1608"/>
    <mergeCell ref="H1604:H1608"/>
    <mergeCell ref="L1604:L1608"/>
    <mergeCell ref="M1604:M1608"/>
    <mergeCell ref="L1592:L1599"/>
    <mergeCell ref="M1592:M1599"/>
    <mergeCell ref="A1600:A1603"/>
    <mergeCell ref="B1600:C1603"/>
    <mergeCell ref="D1600:D1603"/>
    <mergeCell ref="E1600:E1603"/>
    <mergeCell ref="F1600:F1603"/>
    <mergeCell ref="G1600:G1603"/>
    <mergeCell ref="H1600:H1603"/>
    <mergeCell ref="L1600:L1603"/>
    <mergeCell ref="H1588:H1591"/>
    <mergeCell ref="L1588:L1591"/>
    <mergeCell ref="M1588:M1591"/>
    <mergeCell ref="A1592:A1599"/>
    <mergeCell ref="B1592:C1599"/>
    <mergeCell ref="D1592:D1599"/>
    <mergeCell ref="E1592:E1599"/>
    <mergeCell ref="F1592:F1599"/>
    <mergeCell ref="G1592:G1599"/>
    <mergeCell ref="H1592:H1599"/>
    <mergeCell ref="A1588:A1591"/>
    <mergeCell ref="B1588:C1591"/>
    <mergeCell ref="D1588:D1591"/>
    <mergeCell ref="E1588:E1591"/>
    <mergeCell ref="F1588:F1591"/>
    <mergeCell ref="G1588:G1591"/>
    <mergeCell ref="B1582:C1582"/>
    <mergeCell ref="B1583:C1583"/>
    <mergeCell ref="B1584:C1584"/>
    <mergeCell ref="B1585:C1585"/>
    <mergeCell ref="B1586:C1586"/>
    <mergeCell ref="B1587:C1587"/>
    <mergeCell ref="H1571:H1578"/>
    <mergeCell ref="L1571:L1578"/>
    <mergeCell ref="M1571:M1578"/>
    <mergeCell ref="B1579:C1579"/>
    <mergeCell ref="B1580:C1580"/>
    <mergeCell ref="B1581:C1581"/>
    <mergeCell ref="A1571:A1578"/>
    <mergeCell ref="B1571:C1578"/>
    <mergeCell ref="D1571:D1578"/>
    <mergeCell ref="E1571:E1578"/>
    <mergeCell ref="F1571:F1578"/>
    <mergeCell ref="G1571:G1578"/>
    <mergeCell ref="M1556:M1562"/>
    <mergeCell ref="A1563:A1570"/>
    <mergeCell ref="B1563:C1570"/>
    <mergeCell ref="D1563:D1570"/>
    <mergeCell ref="E1563:E1570"/>
    <mergeCell ref="F1563:F1570"/>
    <mergeCell ref="G1563:G1570"/>
    <mergeCell ref="H1563:H1570"/>
    <mergeCell ref="L1563:L1570"/>
    <mergeCell ref="M1563:M1570"/>
    <mergeCell ref="L1543:L1555"/>
    <mergeCell ref="M1543:M1555"/>
    <mergeCell ref="A1556:A1562"/>
    <mergeCell ref="B1556:C1562"/>
    <mergeCell ref="D1556:D1562"/>
    <mergeCell ref="E1556:E1562"/>
    <mergeCell ref="F1556:F1562"/>
    <mergeCell ref="G1556:G1562"/>
    <mergeCell ref="H1556:H1562"/>
    <mergeCell ref="L1556:L1562"/>
    <mergeCell ref="H1537:H1542"/>
    <mergeCell ref="L1537:L1542"/>
    <mergeCell ref="M1537:M1542"/>
    <mergeCell ref="A1543:A1555"/>
    <mergeCell ref="B1543:C1555"/>
    <mergeCell ref="D1543:D1555"/>
    <mergeCell ref="E1543:E1555"/>
    <mergeCell ref="F1543:F1555"/>
    <mergeCell ref="G1543:G1555"/>
    <mergeCell ref="H1543:H1555"/>
    <mergeCell ref="A1537:A1542"/>
    <mergeCell ref="B1537:C1542"/>
    <mergeCell ref="D1537:D1542"/>
    <mergeCell ref="E1537:E1542"/>
    <mergeCell ref="F1537:F1542"/>
    <mergeCell ref="G1537:G1542"/>
    <mergeCell ref="M1512:M1522"/>
    <mergeCell ref="A1523:A1536"/>
    <mergeCell ref="B1523:C1536"/>
    <mergeCell ref="D1523:D1536"/>
    <mergeCell ref="E1523:E1536"/>
    <mergeCell ref="F1523:F1536"/>
    <mergeCell ref="G1523:G1536"/>
    <mergeCell ref="H1523:H1536"/>
    <mergeCell ref="L1523:L1536"/>
    <mergeCell ref="M1523:M1536"/>
    <mergeCell ref="L1502:L1511"/>
    <mergeCell ref="M1502:M1511"/>
    <mergeCell ref="A1512:A1522"/>
    <mergeCell ref="B1512:C1522"/>
    <mergeCell ref="D1512:D1522"/>
    <mergeCell ref="E1512:E1522"/>
    <mergeCell ref="F1512:F1522"/>
    <mergeCell ref="G1512:G1522"/>
    <mergeCell ref="H1512:H1522"/>
    <mergeCell ref="L1512:L1522"/>
    <mergeCell ref="H1498:H1501"/>
    <mergeCell ref="L1498:L1501"/>
    <mergeCell ref="M1498:M1501"/>
    <mergeCell ref="A1502:A1511"/>
    <mergeCell ref="B1502:C1511"/>
    <mergeCell ref="D1502:D1511"/>
    <mergeCell ref="E1502:E1511"/>
    <mergeCell ref="F1502:F1511"/>
    <mergeCell ref="G1502:G1511"/>
    <mergeCell ref="H1502:H1511"/>
    <mergeCell ref="A1498:A1501"/>
    <mergeCell ref="B1498:C1501"/>
    <mergeCell ref="D1498:D1501"/>
    <mergeCell ref="E1498:E1501"/>
    <mergeCell ref="F1498:F1501"/>
    <mergeCell ref="G1498:G1501"/>
    <mergeCell ref="M1488:M1490"/>
    <mergeCell ref="A1491:A1497"/>
    <mergeCell ref="B1491:C1497"/>
    <mergeCell ref="D1491:D1497"/>
    <mergeCell ref="E1491:E1497"/>
    <mergeCell ref="F1491:F1497"/>
    <mergeCell ref="G1491:G1497"/>
    <mergeCell ref="H1491:H1497"/>
    <mergeCell ref="L1491:L1497"/>
    <mergeCell ref="M1491:M1497"/>
    <mergeCell ref="L1482:L1487"/>
    <mergeCell ref="M1482:M1487"/>
    <mergeCell ref="A1488:A1490"/>
    <mergeCell ref="B1488:C1490"/>
    <mergeCell ref="D1488:D1490"/>
    <mergeCell ref="E1488:E1490"/>
    <mergeCell ref="F1488:F1490"/>
    <mergeCell ref="G1488:G1490"/>
    <mergeCell ref="H1488:H1490"/>
    <mergeCell ref="L1488:L1490"/>
    <mergeCell ref="H1480:H1481"/>
    <mergeCell ref="L1480:L1481"/>
    <mergeCell ref="M1480:M1481"/>
    <mergeCell ref="A1482:A1487"/>
    <mergeCell ref="B1482:C1487"/>
    <mergeCell ref="D1482:D1487"/>
    <mergeCell ref="E1482:E1487"/>
    <mergeCell ref="F1482:F1487"/>
    <mergeCell ref="G1482:G1487"/>
    <mergeCell ref="H1482:H1487"/>
    <mergeCell ref="A1480:A1481"/>
    <mergeCell ref="B1480:C1481"/>
    <mergeCell ref="D1480:D1481"/>
    <mergeCell ref="E1480:E1481"/>
    <mergeCell ref="F1480:F1481"/>
    <mergeCell ref="G1480:G1481"/>
    <mergeCell ref="M1473:M1476"/>
    <mergeCell ref="A1477:A1479"/>
    <mergeCell ref="B1477:C1479"/>
    <mergeCell ref="D1477:D1479"/>
    <mergeCell ref="E1477:E1479"/>
    <mergeCell ref="F1477:F1479"/>
    <mergeCell ref="G1477:G1479"/>
    <mergeCell ref="H1477:H1479"/>
    <mergeCell ref="L1477:L1479"/>
    <mergeCell ref="M1477:M1479"/>
    <mergeCell ref="L1466:L1472"/>
    <mergeCell ref="M1466:M1472"/>
    <mergeCell ref="A1473:A1476"/>
    <mergeCell ref="B1473:C1476"/>
    <mergeCell ref="D1473:D1476"/>
    <mergeCell ref="E1473:E1476"/>
    <mergeCell ref="F1473:F1476"/>
    <mergeCell ref="G1473:G1476"/>
    <mergeCell ref="H1473:H1476"/>
    <mergeCell ref="L1473:L1476"/>
    <mergeCell ref="H1462:H1465"/>
    <mergeCell ref="L1462:L1465"/>
    <mergeCell ref="M1462:M1465"/>
    <mergeCell ref="A1466:A1472"/>
    <mergeCell ref="B1466:C1472"/>
    <mergeCell ref="D1466:D1472"/>
    <mergeCell ref="E1466:E1472"/>
    <mergeCell ref="F1466:F1472"/>
    <mergeCell ref="G1466:G1472"/>
    <mergeCell ref="H1466:H1472"/>
    <mergeCell ref="A1462:A1465"/>
    <mergeCell ref="B1462:C1465"/>
    <mergeCell ref="D1462:D1465"/>
    <mergeCell ref="E1462:E1465"/>
    <mergeCell ref="F1462:F1465"/>
    <mergeCell ref="G1462:G1465"/>
    <mergeCell ref="M1449:M1454"/>
    <mergeCell ref="A1455:A1461"/>
    <mergeCell ref="B1455:C1461"/>
    <mergeCell ref="D1455:D1461"/>
    <mergeCell ref="E1455:E1461"/>
    <mergeCell ref="F1455:F1461"/>
    <mergeCell ref="G1455:G1461"/>
    <mergeCell ref="H1455:H1461"/>
    <mergeCell ref="L1455:L1461"/>
    <mergeCell ref="M1455:M1461"/>
    <mergeCell ref="L1444:L1448"/>
    <mergeCell ref="M1444:M1448"/>
    <mergeCell ref="A1449:A1454"/>
    <mergeCell ref="B1449:C1454"/>
    <mergeCell ref="D1449:D1454"/>
    <mergeCell ref="E1449:E1454"/>
    <mergeCell ref="F1449:F1454"/>
    <mergeCell ref="G1449:G1454"/>
    <mergeCell ref="H1449:H1454"/>
    <mergeCell ref="L1449:L1454"/>
    <mergeCell ref="H1439:H1443"/>
    <mergeCell ref="L1439:L1443"/>
    <mergeCell ref="M1439:M1443"/>
    <mergeCell ref="A1444:A1448"/>
    <mergeCell ref="B1444:C1448"/>
    <mergeCell ref="D1444:D1448"/>
    <mergeCell ref="E1444:E1448"/>
    <mergeCell ref="F1444:F1448"/>
    <mergeCell ref="G1444:G1448"/>
    <mergeCell ref="H1444:H1448"/>
    <mergeCell ref="A1439:A1443"/>
    <mergeCell ref="B1439:C1443"/>
    <mergeCell ref="D1439:D1443"/>
    <mergeCell ref="E1439:E1443"/>
    <mergeCell ref="F1439:F1443"/>
    <mergeCell ref="G1439:G1443"/>
    <mergeCell ref="M1432:M1435"/>
    <mergeCell ref="A1436:A1438"/>
    <mergeCell ref="B1436:C1438"/>
    <mergeCell ref="D1436:D1438"/>
    <mergeCell ref="E1436:E1438"/>
    <mergeCell ref="F1436:F1438"/>
    <mergeCell ref="G1436:G1438"/>
    <mergeCell ref="H1436:H1438"/>
    <mergeCell ref="L1436:L1438"/>
    <mergeCell ref="M1436:M1438"/>
    <mergeCell ref="L1424:L1431"/>
    <mergeCell ref="M1424:M1431"/>
    <mergeCell ref="A1432:A1435"/>
    <mergeCell ref="B1432:C1435"/>
    <mergeCell ref="D1432:D1435"/>
    <mergeCell ref="E1432:E1435"/>
    <mergeCell ref="F1432:F1435"/>
    <mergeCell ref="G1432:G1435"/>
    <mergeCell ref="H1432:H1435"/>
    <mergeCell ref="L1432:L1435"/>
    <mergeCell ref="H1419:H1423"/>
    <mergeCell ref="L1419:L1423"/>
    <mergeCell ref="M1419:M1423"/>
    <mergeCell ref="A1424:A1431"/>
    <mergeCell ref="B1424:C1431"/>
    <mergeCell ref="D1424:D1431"/>
    <mergeCell ref="E1424:E1431"/>
    <mergeCell ref="F1424:F1431"/>
    <mergeCell ref="G1424:G1431"/>
    <mergeCell ref="H1424:H1431"/>
    <mergeCell ref="A1419:A1423"/>
    <mergeCell ref="B1419:C1423"/>
    <mergeCell ref="D1419:D1423"/>
    <mergeCell ref="E1419:E1423"/>
    <mergeCell ref="F1419:F1423"/>
    <mergeCell ref="G1419:G1423"/>
    <mergeCell ref="M1405:M1411"/>
    <mergeCell ref="A1412:A1418"/>
    <mergeCell ref="B1412:C1418"/>
    <mergeCell ref="D1412:D1418"/>
    <mergeCell ref="E1412:E1418"/>
    <mergeCell ref="F1412:F1418"/>
    <mergeCell ref="G1412:G1418"/>
    <mergeCell ref="H1412:H1418"/>
    <mergeCell ref="L1412:L1418"/>
    <mergeCell ref="M1412:M1418"/>
    <mergeCell ref="L1398:L1404"/>
    <mergeCell ref="M1398:M1404"/>
    <mergeCell ref="A1405:A1411"/>
    <mergeCell ref="B1405:C1411"/>
    <mergeCell ref="D1405:D1411"/>
    <mergeCell ref="E1405:E1411"/>
    <mergeCell ref="F1405:F1411"/>
    <mergeCell ref="G1405:G1411"/>
    <mergeCell ref="H1405:H1411"/>
    <mergeCell ref="L1405:L1411"/>
    <mergeCell ref="H1393:H1397"/>
    <mergeCell ref="L1393:L1397"/>
    <mergeCell ref="M1393:M1397"/>
    <mergeCell ref="A1398:A1404"/>
    <mergeCell ref="B1398:C1404"/>
    <mergeCell ref="D1398:D1404"/>
    <mergeCell ref="E1398:E1404"/>
    <mergeCell ref="F1398:F1404"/>
    <mergeCell ref="G1398:G1404"/>
    <mergeCell ref="H1398:H1404"/>
    <mergeCell ref="A1393:A1397"/>
    <mergeCell ref="B1393:C1397"/>
    <mergeCell ref="D1393:D1397"/>
    <mergeCell ref="E1393:E1397"/>
    <mergeCell ref="F1393:F1397"/>
    <mergeCell ref="G1393:G1397"/>
    <mergeCell ref="M1383:M1387"/>
    <mergeCell ref="A1388:A1392"/>
    <mergeCell ref="B1388:C1392"/>
    <mergeCell ref="D1388:D1392"/>
    <mergeCell ref="E1388:E1392"/>
    <mergeCell ref="F1388:F1392"/>
    <mergeCell ref="G1388:G1392"/>
    <mergeCell ref="H1388:H1392"/>
    <mergeCell ref="L1388:L1392"/>
    <mergeCell ref="M1388:M1392"/>
    <mergeCell ref="L1378:L1382"/>
    <mergeCell ref="M1378:M1382"/>
    <mergeCell ref="A1383:A1387"/>
    <mergeCell ref="B1383:C1387"/>
    <mergeCell ref="D1383:D1387"/>
    <mergeCell ref="E1383:E1387"/>
    <mergeCell ref="F1383:F1387"/>
    <mergeCell ref="G1383:G1387"/>
    <mergeCell ref="H1383:H1387"/>
    <mergeCell ref="L1383:L1387"/>
    <mergeCell ref="M1371:M1375"/>
    <mergeCell ref="B1376:C1376"/>
    <mergeCell ref="B1377:C1377"/>
    <mergeCell ref="A1378:A1382"/>
    <mergeCell ref="B1378:C1382"/>
    <mergeCell ref="D1378:D1382"/>
    <mergeCell ref="E1378:E1382"/>
    <mergeCell ref="F1378:F1382"/>
    <mergeCell ref="G1378:G1382"/>
    <mergeCell ref="H1378:H1382"/>
    <mergeCell ref="L1364:L1370"/>
    <mergeCell ref="M1364:M1370"/>
    <mergeCell ref="A1371:A1375"/>
    <mergeCell ref="B1371:C1375"/>
    <mergeCell ref="D1371:D1375"/>
    <mergeCell ref="E1371:E1375"/>
    <mergeCell ref="F1371:F1375"/>
    <mergeCell ref="G1371:G1375"/>
    <mergeCell ref="H1371:H1375"/>
    <mergeCell ref="L1371:L1375"/>
    <mergeCell ref="H1358:H1363"/>
    <mergeCell ref="L1358:L1363"/>
    <mergeCell ref="M1358:M1363"/>
    <mergeCell ref="A1364:A1370"/>
    <mergeCell ref="B1364:C1370"/>
    <mergeCell ref="D1364:D1370"/>
    <mergeCell ref="E1364:E1370"/>
    <mergeCell ref="F1364:F1370"/>
    <mergeCell ref="G1364:G1370"/>
    <mergeCell ref="H1364:H1370"/>
    <mergeCell ref="A1358:A1363"/>
    <mergeCell ref="B1358:C1363"/>
    <mergeCell ref="D1358:D1363"/>
    <mergeCell ref="E1358:E1363"/>
    <mergeCell ref="F1358:F1363"/>
    <mergeCell ref="G1358:G1363"/>
    <mergeCell ref="M1351:M1353"/>
    <mergeCell ref="A1354:A1357"/>
    <mergeCell ref="B1354:C1357"/>
    <mergeCell ref="D1354:D1357"/>
    <mergeCell ref="E1354:E1357"/>
    <mergeCell ref="F1354:F1357"/>
    <mergeCell ref="G1354:G1357"/>
    <mergeCell ref="H1354:H1357"/>
    <mergeCell ref="L1354:L1357"/>
    <mergeCell ref="M1354:M1357"/>
    <mergeCell ref="L1348:L1350"/>
    <mergeCell ref="M1348:M1350"/>
    <mergeCell ref="A1351:A1353"/>
    <mergeCell ref="B1351:C1353"/>
    <mergeCell ref="D1351:D1353"/>
    <mergeCell ref="E1351:E1353"/>
    <mergeCell ref="F1351:F1353"/>
    <mergeCell ref="G1351:G1353"/>
    <mergeCell ref="H1351:H1353"/>
    <mergeCell ref="L1351:L1353"/>
    <mergeCell ref="H1345:H1347"/>
    <mergeCell ref="L1345:L1347"/>
    <mergeCell ref="M1345:M1347"/>
    <mergeCell ref="A1348:A1350"/>
    <mergeCell ref="B1348:C1350"/>
    <mergeCell ref="D1348:D1350"/>
    <mergeCell ref="E1348:E1350"/>
    <mergeCell ref="F1348:F1350"/>
    <mergeCell ref="G1348:G1350"/>
    <mergeCell ref="H1348:H1350"/>
    <mergeCell ref="G1342:G1344"/>
    <mergeCell ref="H1342:H1344"/>
    <mergeCell ref="L1342:L1344"/>
    <mergeCell ref="M1342:M1344"/>
    <mergeCell ref="A1345:A1347"/>
    <mergeCell ref="B1345:C1347"/>
    <mergeCell ref="D1345:D1347"/>
    <mergeCell ref="E1345:E1347"/>
    <mergeCell ref="F1345:F1347"/>
    <mergeCell ref="G1345:G1347"/>
    <mergeCell ref="H1337:H1339"/>
    <mergeCell ref="L1337:L1339"/>
    <mergeCell ref="M1337:M1339"/>
    <mergeCell ref="B1340:C1340"/>
    <mergeCell ref="B1341:C1341"/>
    <mergeCell ref="A1342:A1344"/>
    <mergeCell ref="B1342:C1344"/>
    <mergeCell ref="D1342:D1344"/>
    <mergeCell ref="E1342:E1344"/>
    <mergeCell ref="F1342:F1344"/>
    <mergeCell ref="A1337:A1339"/>
    <mergeCell ref="B1337:C1339"/>
    <mergeCell ref="D1337:D1339"/>
    <mergeCell ref="E1337:E1339"/>
    <mergeCell ref="F1337:F1339"/>
    <mergeCell ref="G1337:G1339"/>
    <mergeCell ref="M1331:M1333"/>
    <mergeCell ref="A1334:A1336"/>
    <mergeCell ref="B1334:C1336"/>
    <mergeCell ref="D1334:D1336"/>
    <mergeCell ref="E1334:E1336"/>
    <mergeCell ref="F1334:F1336"/>
    <mergeCell ref="G1334:G1336"/>
    <mergeCell ref="H1334:H1336"/>
    <mergeCell ref="L1334:L1336"/>
    <mergeCell ref="M1334:M1336"/>
    <mergeCell ref="L1322:L1330"/>
    <mergeCell ref="M1322:M1330"/>
    <mergeCell ref="A1331:A1333"/>
    <mergeCell ref="B1331:C1333"/>
    <mergeCell ref="D1331:D1333"/>
    <mergeCell ref="E1331:E1333"/>
    <mergeCell ref="F1331:F1333"/>
    <mergeCell ref="G1331:G1333"/>
    <mergeCell ref="H1331:H1333"/>
    <mergeCell ref="L1331:L1333"/>
    <mergeCell ref="H1313:H1321"/>
    <mergeCell ref="L1313:L1321"/>
    <mergeCell ref="M1313:M1321"/>
    <mergeCell ref="A1322:A1330"/>
    <mergeCell ref="B1322:C1330"/>
    <mergeCell ref="D1322:D1330"/>
    <mergeCell ref="E1322:E1330"/>
    <mergeCell ref="F1322:F1330"/>
    <mergeCell ref="G1322:G1330"/>
    <mergeCell ref="H1322:H1330"/>
    <mergeCell ref="A1313:A1321"/>
    <mergeCell ref="B1313:C1321"/>
    <mergeCell ref="D1313:D1321"/>
    <mergeCell ref="E1313:E1321"/>
    <mergeCell ref="F1313:F1321"/>
    <mergeCell ref="G1313:G1321"/>
    <mergeCell ref="M1305:M1308"/>
    <mergeCell ref="A1309:A1312"/>
    <mergeCell ref="B1309:C1312"/>
    <mergeCell ref="D1309:D1312"/>
    <mergeCell ref="E1309:E1312"/>
    <mergeCell ref="F1309:F1312"/>
    <mergeCell ref="G1309:G1312"/>
    <mergeCell ref="H1309:H1312"/>
    <mergeCell ref="L1309:L1312"/>
    <mergeCell ref="M1309:M1312"/>
    <mergeCell ref="L1299:L1304"/>
    <mergeCell ref="M1299:M1304"/>
    <mergeCell ref="A1305:A1308"/>
    <mergeCell ref="B1305:C1308"/>
    <mergeCell ref="D1305:D1308"/>
    <mergeCell ref="E1305:E1308"/>
    <mergeCell ref="F1305:F1308"/>
    <mergeCell ref="G1305:G1308"/>
    <mergeCell ref="H1305:H1308"/>
    <mergeCell ref="L1305:L1308"/>
    <mergeCell ref="H1291:H1298"/>
    <mergeCell ref="L1291:L1298"/>
    <mergeCell ref="M1291:M1298"/>
    <mergeCell ref="A1299:A1304"/>
    <mergeCell ref="B1299:C1304"/>
    <mergeCell ref="D1299:D1304"/>
    <mergeCell ref="E1299:E1304"/>
    <mergeCell ref="F1299:F1304"/>
    <mergeCell ref="G1299:G1304"/>
    <mergeCell ref="H1299:H1304"/>
    <mergeCell ref="A1291:A1298"/>
    <mergeCell ref="B1291:C1298"/>
    <mergeCell ref="D1291:D1298"/>
    <mergeCell ref="E1291:E1298"/>
    <mergeCell ref="F1291:F1298"/>
    <mergeCell ref="G1291:G1298"/>
    <mergeCell ref="M1282:M1285"/>
    <mergeCell ref="A1286:A1290"/>
    <mergeCell ref="B1286:C1290"/>
    <mergeCell ref="D1286:D1290"/>
    <mergeCell ref="E1286:E1290"/>
    <mergeCell ref="F1286:F1290"/>
    <mergeCell ref="G1286:G1290"/>
    <mergeCell ref="H1286:H1290"/>
    <mergeCell ref="L1286:L1290"/>
    <mergeCell ref="M1286:M1290"/>
    <mergeCell ref="L1278:L1281"/>
    <mergeCell ref="M1278:M1281"/>
    <mergeCell ref="A1282:A1285"/>
    <mergeCell ref="B1282:C1285"/>
    <mergeCell ref="D1282:D1285"/>
    <mergeCell ref="E1282:E1285"/>
    <mergeCell ref="F1282:F1285"/>
    <mergeCell ref="G1282:G1285"/>
    <mergeCell ref="H1282:H1285"/>
    <mergeCell ref="L1282:L1285"/>
    <mergeCell ref="H1274:H1277"/>
    <mergeCell ref="L1274:L1277"/>
    <mergeCell ref="M1274:M1277"/>
    <mergeCell ref="A1278:A1281"/>
    <mergeCell ref="B1278:C1281"/>
    <mergeCell ref="D1278:D1281"/>
    <mergeCell ref="E1278:E1281"/>
    <mergeCell ref="F1278:F1281"/>
    <mergeCell ref="G1278:G1281"/>
    <mergeCell ref="H1278:H1281"/>
    <mergeCell ref="G1270:G1273"/>
    <mergeCell ref="H1270:H1273"/>
    <mergeCell ref="L1270:L1273"/>
    <mergeCell ref="M1270:M1273"/>
    <mergeCell ref="A1274:A1277"/>
    <mergeCell ref="B1274:C1277"/>
    <mergeCell ref="D1274:D1277"/>
    <mergeCell ref="E1274:E1277"/>
    <mergeCell ref="F1274:F1277"/>
    <mergeCell ref="G1274:G1277"/>
    <mergeCell ref="L1259:L1266"/>
    <mergeCell ref="M1259:M1266"/>
    <mergeCell ref="B1267:C1267"/>
    <mergeCell ref="B1268:C1268"/>
    <mergeCell ref="B1269:C1269"/>
    <mergeCell ref="A1270:A1273"/>
    <mergeCell ref="B1270:C1273"/>
    <mergeCell ref="D1270:D1273"/>
    <mergeCell ref="E1270:E1273"/>
    <mergeCell ref="F1270:F1273"/>
    <mergeCell ref="H1255:H1258"/>
    <mergeCell ref="L1255:L1258"/>
    <mergeCell ref="M1255:M1258"/>
    <mergeCell ref="A1259:A1266"/>
    <mergeCell ref="B1259:C1266"/>
    <mergeCell ref="D1259:D1266"/>
    <mergeCell ref="E1259:E1266"/>
    <mergeCell ref="F1259:F1266"/>
    <mergeCell ref="G1259:G1266"/>
    <mergeCell ref="H1259:H1266"/>
    <mergeCell ref="A1255:A1258"/>
    <mergeCell ref="B1255:C1258"/>
    <mergeCell ref="D1255:D1258"/>
    <mergeCell ref="E1255:E1258"/>
    <mergeCell ref="F1255:F1258"/>
    <mergeCell ref="G1255:G1258"/>
    <mergeCell ref="M1248:M1250"/>
    <mergeCell ref="A1251:A1254"/>
    <mergeCell ref="B1251:C1254"/>
    <mergeCell ref="D1251:D1254"/>
    <mergeCell ref="E1251:E1254"/>
    <mergeCell ref="F1251:F1254"/>
    <mergeCell ref="G1251:G1254"/>
    <mergeCell ref="H1251:H1254"/>
    <mergeCell ref="L1251:L1254"/>
    <mergeCell ref="M1251:M1254"/>
    <mergeCell ref="L1242:L1247"/>
    <mergeCell ref="M1242:M1247"/>
    <mergeCell ref="A1248:A1250"/>
    <mergeCell ref="B1248:C1250"/>
    <mergeCell ref="D1248:D1250"/>
    <mergeCell ref="E1248:E1250"/>
    <mergeCell ref="F1248:F1250"/>
    <mergeCell ref="G1248:G1250"/>
    <mergeCell ref="H1248:H1250"/>
    <mergeCell ref="L1248:L1250"/>
    <mergeCell ref="L1231:L1239"/>
    <mergeCell ref="B1240:C1240"/>
    <mergeCell ref="B1241:C1241"/>
    <mergeCell ref="A1242:A1247"/>
    <mergeCell ref="B1242:C1247"/>
    <mergeCell ref="D1242:D1247"/>
    <mergeCell ref="E1242:E1247"/>
    <mergeCell ref="F1242:F1247"/>
    <mergeCell ref="G1242:G1247"/>
    <mergeCell ref="H1242:H1247"/>
    <mergeCell ref="H1226:H1230"/>
    <mergeCell ref="L1226:L1230"/>
    <mergeCell ref="M1226:M1230"/>
    <mergeCell ref="A1231:A1239"/>
    <mergeCell ref="B1231:C1239"/>
    <mergeCell ref="D1231:D1239"/>
    <mergeCell ref="E1231:E1239"/>
    <mergeCell ref="F1231:F1239"/>
    <mergeCell ref="G1231:G1239"/>
    <mergeCell ref="H1231:H1239"/>
    <mergeCell ref="A1226:A1230"/>
    <mergeCell ref="B1226:C1230"/>
    <mergeCell ref="D1226:D1230"/>
    <mergeCell ref="E1226:E1230"/>
    <mergeCell ref="F1226:F1230"/>
    <mergeCell ref="G1226:G1230"/>
    <mergeCell ref="M1216:M1220"/>
    <mergeCell ref="A1221:A1225"/>
    <mergeCell ref="B1221:C1225"/>
    <mergeCell ref="D1221:D1225"/>
    <mergeCell ref="E1221:E1225"/>
    <mergeCell ref="F1221:F1225"/>
    <mergeCell ref="G1221:G1225"/>
    <mergeCell ref="H1221:H1225"/>
    <mergeCell ref="L1221:L1225"/>
    <mergeCell ref="M1221:M1225"/>
    <mergeCell ref="L1212:L1215"/>
    <mergeCell ref="M1212:M1215"/>
    <mergeCell ref="A1216:A1220"/>
    <mergeCell ref="B1216:C1220"/>
    <mergeCell ref="D1216:D1220"/>
    <mergeCell ref="E1216:E1220"/>
    <mergeCell ref="F1216:F1220"/>
    <mergeCell ref="G1216:G1220"/>
    <mergeCell ref="H1216:H1220"/>
    <mergeCell ref="L1216:L1220"/>
    <mergeCell ref="H1208:H1211"/>
    <mergeCell ref="L1208:L1211"/>
    <mergeCell ref="M1208:M1211"/>
    <mergeCell ref="A1212:A1215"/>
    <mergeCell ref="B1212:C1215"/>
    <mergeCell ref="D1212:D1215"/>
    <mergeCell ref="E1212:E1215"/>
    <mergeCell ref="F1212:F1215"/>
    <mergeCell ref="G1212:G1215"/>
    <mergeCell ref="H1212:H1215"/>
    <mergeCell ref="G1205:G1207"/>
    <mergeCell ref="H1205:H1207"/>
    <mergeCell ref="L1205:L1207"/>
    <mergeCell ref="M1205:M1207"/>
    <mergeCell ref="A1208:A1211"/>
    <mergeCell ref="B1208:C1211"/>
    <mergeCell ref="D1208:D1211"/>
    <mergeCell ref="E1208:E1211"/>
    <mergeCell ref="F1208:F1211"/>
    <mergeCell ref="G1208:G1211"/>
    <mergeCell ref="H1198:H1202"/>
    <mergeCell ref="L1198:L1202"/>
    <mergeCell ref="M1198:M1202"/>
    <mergeCell ref="B1203:C1203"/>
    <mergeCell ref="B1204:C1204"/>
    <mergeCell ref="A1205:A1207"/>
    <mergeCell ref="B1205:C1207"/>
    <mergeCell ref="D1205:D1207"/>
    <mergeCell ref="E1205:E1207"/>
    <mergeCell ref="F1205:F1207"/>
    <mergeCell ref="G1192:G1197"/>
    <mergeCell ref="H1192:H1197"/>
    <mergeCell ref="L1192:L1197"/>
    <mergeCell ref="M1192:M1197"/>
    <mergeCell ref="A1198:A1202"/>
    <mergeCell ref="B1198:C1202"/>
    <mergeCell ref="D1198:D1202"/>
    <mergeCell ref="E1198:E1202"/>
    <mergeCell ref="F1198:F1202"/>
    <mergeCell ref="G1198:G1202"/>
    <mergeCell ref="G1188:G1190"/>
    <mergeCell ref="H1188:H1190"/>
    <mergeCell ref="L1188:L1190"/>
    <mergeCell ref="M1188:M1190"/>
    <mergeCell ref="B1191:C1191"/>
    <mergeCell ref="A1192:A1197"/>
    <mergeCell ref="B1192:C1197"/>
    <mergeCell ref="D1192:D1197"/>
    <mergeCell ref="E1192:E1197"/>
    <mergeCell ref="F1192:F1197"/>
    <mergeCell ref="F1180:F1187"/>
    <mergeCell ref="G1180:G1187"/>
    <mergeCell ref="H1180:H1187"/>
    <mergeCell ref="L1180:L1187"/>
    <mergeCell ref="M1180:M1187"/>
    <mergeCell ref="A1188:A1190"/>
    <mergeCell ref="B1188:C1190"/>
    <mergeCell ref="D1188:D1190"/>
    <mergeCell ref="E1188:E1190"/>
    <mergeCell ref="F1188:F1190"/>
    <mergeCell ref="B1178:C1178"/>
    <mergeCell ref="B1179:C1179"/>
    <mergeCell ref="A1180:A1187"/>
    <mergeCell ref="B1180:C1187"/>
    <mergeCell ref="D1180:D1187"/>
    <mergeCell ref="E1180:E1187"/>
    <mergeCell ref="M1168:M1172"/>
    <mergeCell ref="A1173:A1177"/>
    <mergeCell ref="B1173:C1177"/>
    <mergeCell ref="D1173:D1177"/>
    <mergeCell ref="E1173:E1177"/>
    <mergeCell ref="F1173:F1177"/>
    <mergeCell ref="G1173:G1177"/>
    <mergeCell ref="H1173:H1177"/>
    <mergeCell ref="L1173:L1177"/>
    <mergeCell ref="M1173:M1177"/>
    <mergeCell ref="L1163:L1167"/>
    <mergeCell ref="M1163:M1167"/>
    <mergeCell ref="A1168:A1172"/>
    <mergeCell ref="B1168:C1172"/>
    <mergeCell ref="D1168:D1172"/>
    <mergeCell ref="E1168:E1172"/>
    <mergeCell ref="F1168:F1172"/>
    <mergeCell ref="G1168:G1172"/>
    <mergeCell ref="H1168:H1172"/>
    <mergeCell ref="L1168:L1172"/>
    <mergeCell ref="H1158:H1162"/>
    <mergeCell ref="L1158:L1162"/>
    <mergeCell ref="M1158:M1162"/>
    <mergeCell ref="A1163:A1167"/>
    <mergeCell ref="B1163:C1167"/>
    <mergeCell ref="D1163:D1167"/>
    <mergeCell ref="E1163:E1167"/>
    <mergeCell ref="F1163:F1167"/>
    <mergeCell ref="G1163:G1167"/>
    <mergeCell ref="H1163:H1167"/>
    <mergeCell ref="A1158:A1162"/>
    <mergeCell ref="B1158:C1162"/>
    <mergeCell ref="D1158:D1162"/>
    <mergeCell ref="E1158:E1162"/>
    <mergeCell ref="F1158:F1162"/>
    <mergeCell ref="G1158:G1162"/>
    <mergeCell ref="M1142:M1148"/>
    <mergeCell ref="A1149:A1157"/>
    <mergeCell ref="B1149:C1157"/>
    <mergeCell ref="D1149:D1157"/>
    <mergeCell ref="E1149:E1157"/>
    <mergeCell ref="F1149:F1157"/>
    <mergeCell ref="G1149:G1157"/>
    <mergeCell ref="H1149:H1157"/>
    <mergeCell ref="L1149:L1157"/>
    <mergeCell ref="M1149:M1157"/>
    <mergeCell ref="L1139:L1141"/>
    <mergeCell ref="M1139:M1141"/>
    <mergeCell ref="A1142:A1148"/>
    <mergeCell ref="B1142:C1148"/>
    <mergeCell ref="D1142:D1148"/>
    <mergeCell ref="E1142:E1148"/>
    <mergeCell ref="F1142:F1148"/>
    <mergeCell ref="G1142:G1148"/>
    <mergeCell ref="H1142:H1148"/>
    <mergeCell ref="L1142:L1148"/>
    <mergeCell ref="H1133:H1138"/>
    <mergeCell ref="L1133:L1138"/>
    <mergeCell ref="M1133:M1138"/>
    <mergeCell ref="A1139:A1141"/>
    <mergeCell ref="B1139:C1141"/>
    <mergeCell ref="D1139:D1141"/>
    <mergeCell ref="E1139:E1141"/>
    <mergeCell ref="F1139:F1141"/>
    <mergeCell ref="G1139:G1141"/>
    <mergeCell ref="H1139:H1141"/>
    <mergeCell ref="A1133:A1138"/>
    <mergeCell ref="B1133:C1138"/>
    <mergeCell ref="D1133:D1138"/>
    <mergeCell ref="E1133:E1138"/>
    <mergeCell ref="F1133:F1138"/>
    <mergeCell ref="G1133:G1138"/>
    <mergeCell ref="M1120:M1127"/>
    <mergeCell ref="A1128:A1132"/>
    <mergeCell ref="B1128:C1132"/>
    <mergeCell ref="D1128:D1132"/>
    <mergeCell ref="E1128:E1132"/>
    <mergeCell ref="F1128:F1132"/>
    <mergeCell ref="G1128:G1132"/>
    <mergeCell ref="H1128:H1132"/>
    <mergeCell ref="L1128:L1132"/>
    <mergeCell ref="M1128:M1132"/>
    <mergeCell ref="L1112:L1119"/>
    <mergeCell ref="M1112:M1119"/>
    <mergeCell ref="A1120:A1127"/>
    <mergeCell ref="B1120:C1127"/>
    <mergeCell ref="D1120:D1127"/>
    <mergeCell ref="E1120:E1127"/>
    <mergeCell ref="F1120:F1127"/>
    <mergeCell ref="G1120:G1127"/>
    <mergeCell ref="H1120:H1127"/>
    <mergeCell ref="L1120:L1127"/>
    <mergeCell ref="H1104:H1111"/>
    <mergeCell ref="L1104:L1111"/>
    <mergeCell ref="M1104:M1111"/>
    <mergeCell ref="A1112:A1119"/>
    <mergeCell ref="B1112:C1119"/>
    <mergeCell ref="D1112:D1119"/>
    <mergeCell ref="E1112:E1119"/>
    <mergeCell ref="F1112:F1119"/>
    <mergeCell ref="G1112:G1119"/>
    <mergeCell ref="H1112:H1119"/>
    <mergeCell ref="G1097:G1103"/>
    <mergeCell ref="H1097:H1103"/>
    <mergeCell ref="L1097:L1103"/>
    <mergeCell ref="M1097:M1103"/>
    <mergeCell ref="A1104:A1111"/>
    <mergeCell ref="B1104:C1111"/>
    <mergeCell ref="D1104:D1111"/>
    <mergeCell ref="E1104:E1111"/>
    <mergeCell ref="F1104:F1111"/>
    <mergeCell ref="G1104:G1111"/>
    <mergeCell ref="B1096:C1096"/>
    <mergeCell ref="A1097:A1103"/>
    <mergeCell ref="B1097:C1103"/>
    <mergeCell ref="D1097:D1103"/>
    <mergeCell ref="E1097:E1103"/>
    <mergeCell ref="F1097:F1103"/>
    <mergeCell ref="M1087:M1090"/>
    <mergeCell ref="A1091:A1095"/>
    <mergeCell ref="B1091:C1095"/>
    <mergeCell ref="D1091:D1095"/>
    <mergeCell ref="E1091:E1095"/>
    <mergeCell ref="F1091:F1095"/>
    <mergeCell ref="G1091:G1095"/>
    <mergeCell ref="H1091:H1095"/>
    <mergeCell ref="L1091:L1095"/>
    <mergeCell ref="M1091:M1095"/>
    <mergeCell ref="L1083:L1086"/>
    <mergeCell ref="M1083:M1086"/>
    <mergeCell ref="A1087:A1090"/>
    <mergeCell ref="B1087:C1090"/>
    <mergeCell ref="D1087:D1090"/>
    <mergeCell ref="E1087:E1090"/>
    <mergeCell ref="F1087:F1090"/>
    <mergeCell ref="G1087:G1090"/>
    <mergeCell ref="H1087:H1090"/>
    <mergeCell ref="L1087:L1090"/>
    <mergeCell ref="H1075:H1082"/>
    <mergeCell ref="L1075:L1082"/>
    <mergeCell ref="M1075:M1082"/>
    <mergeCell ref="A1083:A1086"/>
    <mergeCell ref="B1083:C1086"/>
    <mergeCell ref="D1083:D1086"/>
    <mergeCell ref="E1083:E1086"/>
    <mergeCell ref="F1083:F1086"/>
    <mergeCell ref="G1083:G1086"/>
    <mergeCell ref="H1083:H1086"/>
    <mergeCell ref="A1075:A1082"/>
    <mergeCell ref="B1075:C1082"/>
    <mergeCell ref="D1075:D1082"/>
    <mergeCell ref="E1075:E1082"/>
    <mergeCell ref="F1075:F1082"/>
    <mergeCell ref="G1075:G1082"/>
    <mergeCell ref="M1062:M1066"/>
    <mergeCell ref="A1067:A1074"/>
    <mergeCell ref="B1067:C1074"/>
    <mergeCell ref="D1067:D1074"/>
    <mergeCell ref="E1067:E1074"/>
    <mergeCell ref="F1067:F1074"/>
    <mergeCell ref="G1067:G1074"/>
    <mergeCell ref="H1067:H1074"/>
    <mergeCell ref="L1067:L1074"/>
    <mergeCell ref="M1067:M1074"/>
    <mergeCell ref="L1055:L1061"/>
    <mergeCell ref="M1055:M1061"/>
    <mergeCell ref="A1062:A1066"/>
    <mergeCell ref="B1062:C1066"/>
    <mergeCell ref="D1062:D1066"/>
    <mergeCell ref="E1062:E1066"/>
    <mergeCell ref="F1062:F1066"/>
    <mergeCell ref="G1062:G1066"/>
    <mergeCell ref="H1062:H1066"/>
    <mergeCell ref="L1062:L1066"/>
    <mergeCell ref="H1050:H1054"/>
    <mergeCell ref="L1050:L1054"/>
    <mergeCell ref="M1050:M1054"/>
    <mergeCell ref="A1055:A1061"/>
    <mergeCell ref="B1055:C1061"/>
    <mergeCell ref="D1055:D1061"/>
    <mergeCell ref="E1055:E1061"/>
    <mergeCell ref="F1055:F1061"/>
    <mergeCell ref="G1055:G1061"/>
    <mergeCell ref="H1055:H1061"/>
    <mergeCell ref="A1050:A1054"/>
    <mergeCell ref="B1050:C1054"/>
    <mergeCell ref="D1050:D1054"/>
    <mergeCell ref="E1050:E1054"/>
    <mergeCell ref="F1050:F1054"/>
    <mergeCell ref="G1050:G1054"/>
    <mergeCell ref="M1038:M1043"/>
    <mergeCell ref="A1044:A1049"/>
    <mergeCell ref="B1044:C1049"/>
    <mergeCell ref="D1044:D1049"/>
    <mergeCell ref="E1044:E1049"/>
    <mergeCell ref="F1044:F1049"/>
    <mergeCell ref="G1044:G1049"/>
    <mergeCell ref="H1044:H1049"/>
    <mergeCell ref="L1044:L1049"/>
    <mergeCell ref="M1044:M1049"/>
    <mergeCell ref="L1033:L1037"/>
    <mergeCell ref="M1033:M1037"/>
    <mergeCell ref="A1038:A1043"/>
    <mergeCell ref="B1038:C1043"/>
    <mergeCell ref="D1038:D1043"/>
    <mergeCell ref="E1038:E1043"/>
    <mergeCell ref="F1038:F1043"/>
    <mergeCell ref="G1038:G1043"/>
    <mergeCell ref="H1038:H1043"/>
    <mergeCell ref="L1038:L1043"/>
    <mergeCell ref="H1028:H1032"/>
    <mergeCell ref="L1028:L1032"/>
    <mergeCell ref="M1028:M1032"/>
    <mergeCell ref="A1033:A1037"/>
    <mergeCell ref="B1033:C1037"/>
    <mergeCell ref="D1033:D1037"/>
    <mergeCell ref="E1033:E1037"/>
    <mergeCell ref="F1033:F1037"/>
    <mergeCell ref="G1033:G1037"/>
    <mergeCell ref="H1033:H1037"/>
    <mergeCell ref="A1028:A1032"/>
    <mergeCell ref="B1028:C1032"/>
    <mergeCell ref="D1028:D1032"/>
    <mergeCell ref="E1028:E1032"/>
    <mergeCell ref="F1028:F1032"/>
    <mergeCell ref="G1028:G1032"/>
    <mergeCell ref="M1021:M1023"/>
    <mergeCell ref="A1024:A1027"/>
    <mergeCell ref="B1024:C1027"/>
    <mergeCell ref="D1024:D1027"/>
    <mergeCell ref="E1024:E1027"/>
    <mergeCell ref="F1024:F1027"/>
    <mergeCell ref="G1024:G1027"/>
    <mergeCell ref="H1024:H1027"/>
    <mergeCell ref="L1024:L1027"/>
    <mergeCell ref="M1024:M1027"/>
    <mergeCell ref="D1021:D1023"/>
    <mergeCell ref="E1021:E1023"/>
    <mergeCell ref="F1021:F1023"/>
    <mergeCell ref="G1021:G1023"/>
    <mergeCell ref="H1021:H1023"/>
    <mergeCell ref="L1021:L1023"/>
    <mergeCell ref="B1017:C1017"/>
    <mergeCell ref="B1018:C1018"/>
    <mergeCell ref="B1019:C1019"/>
    <mergeCell ref="B1020:C1020"/>
    <mergeCell ref="A1021:A1023"/>
    <mergeCell ref="B1021:C1023"/>
    <mergeCell ref="M1009:M1013"/>
    <mergeCell ref="A1014:A1016"/>
    <mergeCell ref="B1014:C1016"/>
    <mergeCell ref="D1014:D1016"/>
    <mergeCell ref="E1014:E1016"/>
    <mergeCell ref="F1014:F1016"/>
    <mergeCell ref="G1014:G1016"/>
    <mergeCell ref="H1014:H1016"/>
    <mergeCell ref="L1014:L1016"/>
    <mergeCell ref="M1014:M1016"/>
    <mergeCell ref="L999:L1008"/>
    <mergeCell ref="M999:M1008"/>
    <mergeCell ref="A1009:A1013"/>
    <mergeCell ref="B1009:C1013"/>
    <mergeCell ref="D1009:D1013"/>
    <mergeCell ref="E1009:E1013"/>
    <mergeCell ref="F1009:F1013"/>
    <mergeCell ref="G1009:G1013"/>
    <mergeCell ref="H1009:H1013"/>
    <mergeCell ref="L1009:L1013"/>
    <mergeCell ref="H995:H998"/>
    <mergeCell ref="L995:L998"/>
    <mergeCell ref="M995:M998"/>
    <mergeCell ref="A999:A1008"/>
    <mergeCell ref="B999:C1008"/>
    <mergeCell ref="D999:D1008"/>
    <mergeCell ref="E999:E1008"/>
    <mergeCell ref="F999:F1008"/>
    <mergeCell ref="G999:G1008"/>
    <mergeCell ref="H999:H1008"/>
    <mergeCell ref="A995:A998"/>
    <mergeCell ref="B995:C998"/>
    <mergeCell ref="D995:D998"/>
    <mergeCell ref="E995:E998"/>
    <mergeCell ref="F995:F998"/>
    <mergeCell ref="G995:G998"/>
    <mergeCell ref="M981:M988"/>
    <mergeCell ref="A989:A994"/>
    <mergeCell ref="B989:C994"/>
    <mergeCell ref="D989:D994"/>
    <mergeCell ref="E989:E994"/>
    <mergeCell ref="F989:F994"/>
    <mergeCell ref="G989:G994"/>
    <mergeCell ref="H989:H994"/>
    <mergeCell ref="L989:L994"/>
    <mergeCell ref="M989:M994"/>
    <mergeCell ref="L975:L980"/>
    <mergeCell ref="M975:M980"/>
    <mergeCell ref="A981:A988"/>
    <mergeCell ref="B981:C988"/>
    <mergeCell ref="D981:D988"/>
    <mergeCell ref="E981:E988"/>
    <mergeCell ref="F981:F988"/>
    <mergeCell ref="G981:G988"/>
    <mergeCell ref="H981:H988"/>
    <mergeCell ref="L981:L988"/>
    <mergeCell ref="H971:H974"/>
    <mergeCell ref="L971:L974"/>
    <mergeCell ref="M971:M974"/>
    <mergeCell ref="A975:A980"/>
    <mergeCell ref="B975:C980"/>
    <mergeCell ref="D975:D980"/>
    <mergeCell ref="E975:E980"/>
    <mergeCell ref="F975:F980"/>
    <mergeCell ref="G975:G980"/>
    <mergeCell ref="H975:H980"/>
    <mergeCell ref="G968:G970"/>
    <mergeCell ref="H968:H970"/>
    <mergeCell ref="L968:L970"/>
    <mergeCell ref="M968:M970"/>
    <mergeCell ref="A971:A974"/>
    <mergeCell ref="B971:C974"/>
    <mergeCell ref="D971:D974"/>
    <mergeCell ref="E971:E974"/>
    <mergeCell ref="F971:F974"/>
    <mergeCell ref="G971:G974"/>
    <mergeCell ref="G962:G966"/>
    <mergeCell ref="H962:H966"/>
    <mergeCell ref="L962:L966"/>
    <mergeCell ref="M962:M966"/>
    <mergeCell ref="B967:C967"/>
    <mergeCell ref="A968:A970"/>
    <mergeCell ref="B968:C970"/>
    <mergeCell ref="D968:D970"/>
    <mergeCell ref="E968:E970"/>
    <mergeCell ref="F968:F970"/>
    <mergeCell ref="F958:F961"/>
    <mergeCell ref="G958:G961"/>
    <mergeCell ref="H958:H961"/>
    <mergeCell ref="L958:L961"/>
    <mergeCell ref="M958:M961"/>
    <mergeCell ref="A962:A966"/>
    <mergeCell ref="B962:C966"/>
    <mergeCell ref="D962:D966"/>
    <mergeCell ref="E962:E966"/>
    <mergeCell ref="F962:F966"/>
    <mergeCell ref="B956:C956"/>
    <mergeCell ref="B957:C957"/>
    <mergeCell ref="A958:A961"/>
    <mergeCell ref="B958:C961"/>
    <mergeCell ref="D958:D961"/>
    <mergeCell ref="E958:E961"/>
    <mergeCell ref="M942:M948"/>
    <mergeCell ref="A949:A955"/>
    <mergeCell ref="B949:C955"/>
    <mergeCell ref="D949:D955"/>
    <mergeCell ref="E949:E955"/>
    <mergeCell ref="F949:F955"/>
    <mergeCell ref="G949:G955"/>
    <mergeCell ref="H949:H955"/>
    <mergeCell ref="L949:L955"/>
    <mergeCell ref="M949:M955"/>
    <mergeCell ref="L938:L941"/>
    <mergeCell ref="M938:M941"/>
    <mergeCell ref="A942:A948"/>
    <mergeCell ref="B942:C948"/>
    <mergeCell ref="D942:D948"/>
    <mergeCell ref="E942:E948"/>
    <mergeCell ref="F942:F948"/>
    <mergeCell ref="G942:G948"/>
    <mergeCell ref="H942:H948"/>
    <mergeCell ref="L942:L948"/>
    <mergeCell ref="H933:H937"/>
    <mergeCell ref="L933:L937"/>
    <mergeCell ref="M933:M937"/>
    <mergeCell ref="A938:A941"/>
    <mergeCell ref="B938:C941"/>
    <mergeCell ref="D938:D941"/>
    <mergeCell ref="E938:E941"/>
    <mergeCell ref="F938:F941"/>
    <mergeCell ref="G938:G941"/>
    <mergeCell ref="H938:H941"/>
    <mergeCell ref="G928:G932"/>
    <mergeCell ref="H928:H932"/>
    <mergeCell ref="L928:L932"/>
    <mergeCell ref="M928:M932"/>
    <mergeCell ref="A933:A937"/>
    <mergeCell ref="B933:C937"/>
    <mergeCell ref="D933:D937"/>
    <mergeCell ref="E933:E937"/>
    <mergeCell ref="F933:F937"/>
    <mergeCell ref="G933:G937"/>
    <mergeCell ref="B927:C927"/>
    <mergeCell ref="A928:A932"/>
    <mergeCell ref="B928:C932"/>
    <mergeCell ref="D928:D932"/>
    <mergeCell ref="E928:E932"/>
    <mergeCell ref="F928:F932"/>
    <mergeCell ref="L916:L922"/>
    <mergeCell ref="M916:M922"/>
    <mergeCell ref="B923:C923"/>
    <mergeCell ref="B924:C924"/>
    <mergeCell ref="B925:C925"/>
    <mergeCell ref="B926:C926"/>
    <mergeCell ref="H913:H915"/>
    <mergeCell ref="L913:L915"/>
    <mergeCell ref="M913:M915"/>
    <mergeCell ref="A916:A922"/>
    <mergeCell ref="B916:C922"/>
    <mergeCell ref="D916:D922"/>
    <mergeCell ref="E916:E922"/>
    <mergeCell ref="F916:F922"/>
    <mergeCell ref="G916:G922"/>
    <mergeCell ref="H916:H922"/>
    <mergeCell ref="M906:M909"/>
    <mergeCell ref="B910:C910"/>
    <mergeCell ref="B911:C911"/>
    <mergeCell ref="B912:C912"/>
    <mergeCell ref="A913:A915"/>
    <mergeCell ref="B913:C915"/>
    <mergeCell ref="D913:D915"/>
    <mergeCell ref="E913:E915"/>
    <mergeCell ref="F913:F915"/>
    <mergeCell ref="G913:G915"/>
    <mergeCell ref="L902:L905"/>
    <mergeCell ref="M902:M905"/>
    <mergeCell ref="A906:A909"/>
    <mergeCell ref="B906:C909"/>
    <mergeCell ref="D906:D909"/>
    <mergeCell ref="E906:E909"/>
    <mergeCell ref="F906:F909"/>
    <mergeCell ref="G906:G909"/>
    <mergeCell ref="H906:H909"/>
    <mergeCell ref="L906:L909"/>
    <mergeCell ref="H899:H901"/>
    <mergeCell ref="L899:L901"/>
    <mergeCell ref="M899:M901"/>
    <mergeCell ref="A902:A905"/>
    <mergeCell ref="B902:C905"/>
    <mergeCell ref="D902:D905"/>
    <mergeCell ref="E902:E905"/>
    <mergeCell ref="F902:F905"/>
    <mergeCell ref="G902:G905"/>
    <mergeCell ref="H902:H905"/>
    <mergeCell ref="A899:A901"/>
    <mergeCell ref="B899:C901"/>
    <mergeCell ref="D899:D901"/>
    <mergeCell ref="E899:E901"/>
    <mergeCell ref="F899:F901"/>
    <mergeCell ref="G899:G901"/>
    <mergeCell ref="H890:H895"/>
    <mergeCell ref="L890:L895"/>
    <mergeCell ref="M890:M895"/>
    <mergeCell ref="B896:C896"/>
    <mergeCell ref="B897:C897"/>
    <mergeCell ref="B898:C898"/>
    <mergeCell ref="G885:G889"/>
    <mergeCell ref="H885:H889"/>
    <mergeCell ref="L885:L889"/>
    <mergeCell ref="M885:M889"/>
    <mergeCell ref="A890:A895"/>
    <mergeCell ref="B890:C895"/>
    <mergeCell ref="D890:D895"/>
    <mergeCell ref="E890:E895"/>
    <mergeCell ref="F890:F895"/>
    <mergeCell ref="G890:G895"/>
    <mergeCell ref="B884:C884"/>
    <mergeCell ref="A885:A889"/>
    <mergeCell ref="B885:C889"/>
    <mergeCell ref="D885:D889"/>
    <mergeCell ref="E885:E889"/>
    <mergeCell ref="F885:F889"/>
    <mergeCell ref="F878:F882"/>
    <mergeCell ref="G878:G882"/>
    <mergeCell ref="H878:H882"/>
    <mergeCell ref="L878:L882"/>
    <mergeCell ref="M878:M882"/>
    <mergeCell ref="B883:C883"/>
    <mergeCell ref="B876:C876"/>
    <mergeCell ref="B877:C877"/>
    <mergeCell ref="A878:A882"/>
    <mergeCell ref="B878:C882"/>
    <mergeCell ref="D878:D882"/>
    <mergeCell ref="E878:E882"/>
    <mergeCell ref="M867:M870"/>
    <mergeCell ref="B871:C871"/>
    <mergeCell ref="B872:C872"/>
    <mergeCell ref="B873:C873"/>
    <mergeCell ref="B874:C874"/>
    <mergeCell ref="B875:C875"/>
    <mergeCell ref="L863:L866"/>
    <mergeCell ref="M863:M866"/>
    <mergeCell ref="A867:A870"/>
    <mergeCell ref="B867:C870"/>
    <mergeCell ref="D867:D870"/>
    <mergeCell ref="E867:E870"/>
    <mergeCell ref="F867:F870"/>
    <mergeCell ref="G867:G870"/>
    <mergeCell ref="H867:H870"/>
    <mergeCell ref="L867:L870"/>
    <mergeCell ref="H860:H862"/>
    <mergeCell ref="L860:L862"/>
    <mergeCell ref="M860:M862"/>
    <mergeCell ref="A863:A866"/>
    <mergeCell ref="B863:C866"/>
    <mergeCell ref="D863:D866"/>
    <mergeCell ref="E863:E866"/>
    <mergeCell ref="F863:F866"/>
    <mergeCell ref="G863:G866"/>
    <mergeCell ref="H863:H866"/>
    <mergeCell ref="G856:G859"/>
    <mergeCell ref="H856:H859"/>
    <mergeCell ref="L856:L859"/>
    <mergeCell ref="M856:M859"/>
    <mergeCell ref="A860:A862"/>
    <mergeCell ref="B860:C862"/>
    <mergeCell ref="D860:D862"/>
    <mergeCell ref="E860:E862"/>
    <mergeCell ref="F860:F862"/>
    <mergeCell ref="G860:G862"/>
    <mergeCell ref="G852:G854"/>
    <mergeCell ref="H852:H854"/>
    <mergeCell ref="L852:L854"/>
    <mergeCell ref="M852:M854"/>
    <mergeCell ref="B855:C855"/>
    <mergeCell ref="A856:A859"/>
    <mergeCell ref="B856:C859"/>
    <mergeCell ref="D856:D859"/>
    <mergeCell ref="E856:E859"/>
    <mergeCell ref="F856:F859"/>
    <mergeCell ref="F849:F851"/>
    <mergeCell ref="G849:G851"/>
    <mergeCell ref="H849:H851"/>
    <mergeCell ref="L849:L851"/>
    <mergeCell ref="M849:M851"/>
    <mergeCell ref="A852:A854"/>
    <mergeCell ref="B852:C854"/>
    <mergeCell ref="D852:D854"/>
    <mergeCell ref="E852:E854"/>
    <mergeCell ref="F852:F854"/>
    <mergeCell ref="B847:C847"/>
    <mergeCell ref="B848:C848"/>
    <mergeCell ref="A849:A851"/>
    <mergeCell ref="B849:C851"/>
    <mergeCell ref="D849:D851"/>
    <mergeCell ref="E849:E851"/>
    <mergeCell ref="H838:H843"/>
    <mergeCell ref="L838:L843"/>
    <mergeCell ref="M838:M843"/>
    <mergeCell ref="B844:C844"/>
    <mergeCell ref="B845:C845"/>
    <mergeCell ref="B846:C846"/>
    <mergeCell ref="A838:A843"/>
    <mergeCell ref="B838:C843"/>
    <mergeCell ref="D838:D843"/>
    <mergeCell ref="E838:E843"/>
    <mergeCell ref="F838:F843"/>
    <mergeCell ref="G838:G843"/>
    <mergeCell ref="B832:C832"/>
    <mergeCell ref="B833:C833"/>
    <mergeCell ref="B834:C834"/>
    <mergeCell ref="B835:C835"/>
    <mergeCell ref="B836:C836"/>
    <mergeCell ref="B837:C837"/>
    <mergeCell ref="H823:H828"/>
    <mergeCell ref="L823:L828"/>
    <mergeCell ref="M823:M828"/>
    <mergeCell ref="B829:C829"/>
    <mergeCell ref="B830:C830"/>
    <mergeCell ref="B831:C831"/>
    <mergeCell ref="A823:A828"/>
    <mergeCell ref="B823:C828"/>
    <mergeCell ref="D823:D828"/>
    <mergeCell ref="E823:E828"/>
    <mergeCell ref="F823:F828"/>
    <mergeCell ref="G823:G828"/>
    <mergeCell ref="M813:M817"/>
    <mergeCell ref="A818:A822"/>
    <mergeCell ref="B818:C822"/>
    <mergeCell ref="D818:D822"/>
    <mergeCell ref="E818:E822"/>
    <mergeCell ref="F818:F822"/>
    <mergeCell ref="G818:G822"/>
    <mergeCell ref="H818:H822"/>
    <mergeCell ref="L818:L822"/>
    <mergeCell ref="M818:M822"/>
    <mergeCell ref="L808:L812"/>
    <mergeCell ref="M808:M812"/>
    <mergeCell ref="A813:A817"/>
    <mergeCell ref="B813:C817"/>
    <mergeCell ref="D813:D817"/>
    <mergeCell ref="E813:E817"/>
    <mergeCell ref="F813:F817"/>
    <mergeCell ref="G813:G817"/>
    <mergeCell ref="H813:H817"/>
    <mergeCell ref="L813:L817"/>
    <mergeCell ref="H803:H807"/>
    <mergeCell ref="L803:L807"/>
    <mergeCell ref="M803:M807"/>
    <mergeCell ref="A808:A812"/>
    <mergeCell ref="B808:C812"/>
    <mergeCell ref="D808:D812"/>
    <mergeCell ref="E808:E812"/>
    <mergeCell ref="F808:F812"/>
    <mergeCell ref="G808:G812"/>
    <mergeCell ref="H808:H812"/>
    <mergeCell ref="A803:A807"/>
    <mergeCell ref="B803:C807"/>
    <mergeCell ref="D803:D807"/>
    <mergeCell ref="E803:E807"/>
    <mergeCell ref="F803:F807"/>
    <mergeCell ref="G803:G807"/>
    <mergeCell ref="M795:M798"/>
    <mergeCell ref="A799:A802"/>
    <mergeCell ref="B799:C802"/>
    <mergeCell ref="D799:D802"/>
    <mergeCell ref="E799:E802"/>
    <mergeCell ref="F799:F802"/>
    <mergeCell ref="G799:G802"/>
    <mergeCell ref="H799:H802"/>
    <mergeCell ref="L799:L802"/>
    <mergeCell ref="M799:M802"/>
    <mergeCell ref="L790:L794"/>
    <mergeCell ref="M790:M794"/>
    <mergeCell ref="A795:A798"/>
    <mergeCell ref="B795:C798"/>
    <mergeCell ref="D795:D798"/>
    <mergeCell ref="E795:E798"/>
    <mergeCell ref="F795:F798"/>
    <mergeCell ref="G795:G798"/>
    <mergeCell ref="H795:H798"/>
    <mergeCell ref="L795:L798"/>
    <mergeCell ref="H786:H789"/>
    <mergeCell ref="L786:L789"/>
    <mergeCell ref="M786:M789"/>
    <mergeCell ref="A790:A794"/>
    <mergeCell ref="B790:C794"/>
    <mergeCell ref="D790:D794"/>
    <mergeCell ref="E790:E794"/>
    <mergeCell ref="F790:F794"/>
    <mergeCell ref="G790:G794"/>
    <mergeCell ref="H790:H794"/>
    <mergeCell ref="A786:A789"/>
    <mergeCell ref="B786:C789"/>
    <mergeCell ref="D786:D789"/>
    <mergeCell ref="E786:E789"/>
    <mergeCell ref="F786:F789"/>
    <mergeCell ref="G786:G789"/>
    <mergeCell ref="M778:M781"/>
    <mergeCell ref="A782:A785"/>
    <mergeCell ref="B782:C785"/>
    <mergeCell ref="D782:D785"/>
    <mergeCell ref="E782:E785"/>
    <mergeCell ref="F782:F785"/>
    <mergeCell ref="G782:G785"/>
    <mergeCell ref="H782:H785"/>
    <mergeCell ref="L782:L785"/>
    <mergeCell ref="M782:M785"/>
    <mergeCell ref="L774:L777"/>
    <mergeCell ref="M774:M777"/>
    <mergeCell ref="A778:A781"/>
    <mergeCell ref="B778:C781"/>
    <mergeCell ref="D778:D781"/>
    <mergeCell ref="E778:E781"/>
    <mergeCell ref="F778:F781"/>
    <mergeCell ref="G778:G781"/>
    <mergeCell ref="H778:H781"/>
    <mergeCell ref="L778:L781"/>
    <mergeCell ref="L766:L772"/>
    <mergeCell ref="M766:M772"/>
    <mergeCell ref="B773:C773"/>
    <mergeCell ref="A774:A777"/>
    <mergeCell ref="B774:C777"/>
    <mergeCell ref="D774:D777"/>
    <mergeCell ref="E774:E777"/>
    <mergeCell ref="F774:F777"/>
    <mergeCell ref="G774:G777"/>
    <mergeCell ref="H774:H777"/>
    <mergeCell ref="H763:H765"/>
    <mergeCell ref="L763:L765"/>
    <mergeCell ref="M763:M765"/>
    <mergeCell ref="A766:A772"/>
    <mergeCell ref="B766:C772"/>
    <mergeCell ref="D766:D772"/>
    <mergeCell ref="E766:E772"/>
    <mergeCell ref="F766:F772"/>
    <mergeCell ref="G766:G772"/>
    <mergeCell ref="H766:H772"/>
    <mergeCell ref="A763:A765"/>
    <mergeCell ref="B763:C765"/>
    <mergeCell ref="D763:D765"/>
    <mergeCell ref="E763:E765"/>
    <mergeCell ref="F763:F765"/>
    <mergeCell ref="G763:G765"/>
    <mergeCell ref="L753:L758"/>
    <mergeCell ref="M753:M758"/>
    <mergeCell ref="B759:C759"/>
    <mergeCell ref="B760:C760"/>
    <mergeCell ref="B761:C761"/>
    <mergeCell ref="B762:C762"/>
    <mergeCell ref="H744:H752"/>
    <mergeCell ref="L744:L752"/>
    <mergeCell ref="M744:M752"/>
    <mergeCell ref="A753:A758"/>
    <mergeCell ref="B753:C758"/>
    <mergeCell ref="D753:D758"/>
    <mergeCell ref="E753:E758"/>
    <mergeCell ref="F753:F758"/>
    <mergeCell ref="G753:G758"/>
    <mergeCell ref="H753:H758"/>
    <mergeCell ref="A744:A752"/>
    <mergeCell ref="B744:C752"/>
    <mergeCell ref="D744:D752"/>
    <mergeCell ref="E744:E752"/>
    <mergeCell ref="F744:F752"/>
    <mergeCell ref="G744:G752"/>
    <mergeCell ref="M723:M728"/>
    <mergeCell ref="A729:A743"/>
    <mergeCell ref="B729:C743"/>
    <mergeCell ref="D729:D743"/>
    <mergeCell ref="E729:E743"/>
    <mergeCell ref="F729:F743"/>
    <mergeCell ref="G729:G743"/>
    <mergeCell ref="H729:H743"/>
    <mergeCell ref="L729:L743"/>
    <mergeCell ref="M729:M743"/>
    <mergeCell ref="L719:L722"/>
    <mergeCell ref="M719:M722"/>
    <mergeCell ref="A723:A728"/>
    <mergeCell ref="B723:C728"/>
    <mergeCell ref="D723:D728"/>
    <mergeCell ref="E723:E728"/>
    <mergeCell ref="F723:F728"/>
    <mergeCell ref="G723:G728"/>
    <mergeCell ref="H723:H728"/>
    <mergeCell ref="L723:L728"/>
    <mergeCell ref="H715:H718"/>
    <mergeCell ref="L715:L718"/>
    <mergeCell ref="M715:M718"/>
    <mergeCell ref="A719:A722"/>
    <mergeCell ref="B719:C722"/>
    <mergeCell ref="D719:D722"/>
    <mergeCell ref="E719:E722"/>
    <mergeCell ref="F719:F722"/>
    <mergeCell ref="G719:G722"/>
    <mergeCell ref="H719:H722"/>
    <mergeCell ref="A715:A718"/>
    <mergeCell ref="B715:C718"/>
    <mergeCell ref="D715:D718"/>
    <mergeCell ref="E715:E718"/>
    <mergeCell ref="F715:F718"/>
    <mergeCell ref="G715:G718"/>
    <mergeCell ref="M702:M709"/>
    <mergeCell ref="A710:A714"/>
    <mergeCell ref="B710:C714"/>
    <mergeCell ref="D710:D714"/>
    <mergeCell ref="E710:E714"/>
    <mergeCell ref="F710:F714"/>
    <mergeCell ref="G710:G714"/>
    <mergeCell ref="H710:H714"/>
    <mergeCell ref="L710:L714"/>
    <mergeCell ref="M710:M714"/>
    <mergeCell ref="L690:L701"/>
    <mergeCell ref="M690:M701"/>
    <mergeCell ref="A702:A709"/>
    <mergeCell ref="B702:C709"/>
    <mergeCell ref="D702:D709"/>
    <mergeCell ref="E702:E709"/>
    <mergeCell ref="F702:F709"/>
    <mergeCell ref="G702:G709"/>
    <mergeCell ref="H702:H709"/>
    <mergeCell ref="L702:L709"/>
    <mergeCell ref="H684:H689"/>
    <mergeCell ref="L684:L689"/>
    <mergeCell ref="M684:M689"/>
    <mergeCell ref="A690:A701"/>
    <mergeCell ref="B690:C701"/>
    <mergeCell ref="D690:D701"/>
    <mergeCell ref="E690:E701"/>
    <mergeCell ref="F690:F701"/>
    <mergeCell ref="G690:G701"/>
    <mergeCell ref="H690:H701"/>
    <mergeCell ref="A684:A689"/>
    <mergeCell ref="B684:C689"/>
    <mergeCell ref="D684:D689"/>
    <mergeCell ref="E684:E689"/>
    <mergeCell ref="F684:F689"/>
    <mergeCell ref="G684:G689"/>
    <mergeCell ref="M674:M679"/>
    <mergeCell ref="A680:A683"/>
    <mergeCell ref="B680:C683"/>
    <mergeCell ref="D680:D683"/>
    <mergeCell ref="E680:E683"/>
    <mergeCell ref="F680:F683"/>
    <mergeCell ref="G680:G683"/>
    <mergeCell ref="H680:H683"/>
    <mergeCell ref="L680:L683"/>
    <mergeCell ref="M680:M683"/>
    <mergeCell ref="L671:L673"/>
    <mergeCell ref="M671:M673"/>
    <mergeCell ref="A674:A679"/>
    <mergeCell ref="B674:C679"/>
    <mergeCell ref="D674:D679"/>
    <mergeCell ref="E674:E679"/>
    <mergeCell ref="F674:F679"/>
    <mergeCell ref="G674:G679"/>
    <mergeCell ref="H674:H679"/>
    <mergeCell ref="L674:L679"/>
    <mergeCell ref="H668:H670"/>
    <mergeCell ref="L668:L670"/>
    <mergeCell ref="M668:M670"/>
    <mergeCell ref="A671:A673"/>
    <mergeCell ref="B671:C673"/>
    <mergeCell ref="D671:D673"/>
    <mergeCell ref="E671:E673"/>
    <mergeCell ref="F671:F673"/>
    <mergeCell ref="G671:G673"/>
    <mergeCell ref="H671:H673"/>
    <mergeCell ref="A668:A670"/>
    <mergeCell ref="B668:C670"/>
    <mergeCell ref="D668:D670"/>
    <mergeCell ref="E668:E670"/>
    <mergeCell ref="F668:F670"/>
    <mergeCell ref="G668:G670"/>
    <mergeCell ref="M661:M663"/>
    <mergeCell ref="A664:A667"/>
    <mergeCell ref="B664:C667"/>
    <mergeCell ref="D664:D667"/>
    <mergeCell ref="E664:E667"/>
    <mergeCell ref="F664:F667"/>
    <mergeCell ref="G664:G667"/>
    <mergeCell ref="H664:H667"/>
    <mergeCell ref="L664:L667"/>
    <mergeCell ref="M664:M667"/>
    <mergeCell ref="L656:L660"/>
    <mergeCell ref="M656:M660"/>
    <mergeCell ref="A661:A663"/>
    <mergeCell ref="B661:C663"/>
    <mergeCell ref="D661:D663"/>
    <mergeCell ref="E661:E663"/>
    <mergeCell ref="F661:F663"/>
    <mergeCell ref="G661:G663"/>
    <mergeCell ref="H661:H663"/>
    <mergeCell ref="L661:L663"/>
    <mergeCell ref="H651:H655"/>
    <mergeCell ref="L651:L655"/>
    <mergeCell ref="M651:M655"/>
    <mergeCell ref="A656:A660"/>
    <mergeCell ref="B656:C660"/>
    <mergeCell ref="D656:D660"/>
    <mergeCell ref="E656:E660"/>
    <mergeCell ref="F656:F660"/>
    <mergeCell ref="G656:G660"/>
    <mergeCell ref="H656:H660"/>
    <mergeCell ref="A651:A655"/>
    <mergeCell ref="B651:C655"/>
    <mergeCell ref="D651:D655"/>
    <mergeCell ref="E651:E655"/>
    <mergeCell ref="F651:F655"/>
    <mergeCell ref="G651:G655"/>
    <mergeCell ref="M639:M645"/>
    <mergeCell ref="A646:A650"/>
    <mergeCell ref="B646:C650"/>
    <mergeCell ref="D646:D650"/>
    <mergeCell ref="E646:E650"/>
    <mergeCell ref="F646:F650"/>
    <mergeCell ref="G646:G650"/>
    <mergeCell ref="H646:H650"/>
    <mergeCell ref="L646:L650"/>
    <mergeCell ref="M646:M650"/>
    <mergeCell ref="L634:L638"/>
    <mergeCell ref="M634:M638"/>
    <mergeCell ref="A639:A645"/>
    <mergeCell ref="B639:C645"/>
    <mergeCell ref="D639:D645"/>
    <mergeCell ref="E639:E645"/>
    <mergeCell ref="F639:F645"/>
    <mergeCell ref="G639:G645"/>
    <mergeCell ref="H639:H645"/>
    <mergeCell ref="L639:L645"/>
    <mergeCell ref="H628:H633"/>
    <mergeCell ref="L628:L633"/>
    <mergeCell ref="M628:M633"/>
    <mergeCell ref="A634:A638"/>
    <mergeCell ref="B634:C638"/>
    <mergeCell ref="D634:D638"/>
    <mergeCell ref="E634:E638"/>
    <mergeCell ref="F634:F638"/>
    <mergeCell ref="G634:G638"/>
    <mergeCell ref="H634:H638"/>
    <mergeCell ref="H624:H626"/>
    <mergeCell ref="L624:L626"/>
    <mergeCell ref="M624:M626"/>
    <mergeCell ref="B627:C627"/>
    <mergeCell ref="A628:A633"/>
    <mergeCell ref="B628:C633"/>
    <mergeCell ref="D628:D633"/>
    <mergeCell ref="E628:E633"/>
    <mergeCell ref="F628:F633"/>
    <mergeCell ref="G628:G633"/>
    <mergeCell ref="A624:A626"/>
    <mergeCell ref="B624:C626"/>
    <mergeCell ref="D624:D626"/>
    <mergeCell ref="E624:E626"/>
    <mergeCell ref="F624:F626"/>
    <mergeCell ref="G624:G626"/>
    <mergeCell ref="M613:M618"/>
    <mergeCell ref="A619:A623"/>
    <mergeCell ref="B619:C623"/>
    <mergeCell ref="D619:D623"/>
    <mergeCell ref="E619:E623"/>
    <mergeCell ref="F619:F623"/>
    <mergeCell ref="G619:G623"/>
    <mergeCell ref="H619:H623"/>
    <mergeCell ref="L619:L623"/>
    <mergeCell ref="M619:M623"/>
    <mergeCell ref="L608:L612"/>
    <mergeCell ref="M608:M612"/>
    <mergeCell ref="A613:A618"/>
    <mergeCell ref="B613:C618"/>
    <mergeCell ref="D613:D618"/>
    <mergeCell ref="E613:E618"/>
    <mergeCell ref="F613:F618"/>
    <mergeCell ref="G613:G618"/>
    <mergeCell ref="H613:H618"/>
    <mergeCell ref="L613:L618"/>
    <mergeCell ref="H605:H607"/>
    <mergeCell ref="L605:L607"/>
    <mergeCell ref="M605:M607"/>
    <mergeCell ref="A608:A612"/>
    <mergeCell ref="B608:C612"/>
    <mergeCell ref="D608:D612"/>
    <mergeCell ref="E608:E612"/>
    <mergeCell ref="F608:F612"/>
    <mergeCell ref="G608:G612"/>
    <mergeCell ref="H608:H612"/>
    <mergeCell ref="A605:A607"/>
    <mergeCell ref="B605:C607"/>
    <mergeCell ref="D605:D607"/>
    <mergeCell ref="E605:E607"/>
    <mergeCell ref="F605:F607"/>
    <mergeCell ref="G605:G607"/>
    <mergeCell ref="M595:M599"/>
    <mergeCell ref="A600:A604"/>
    <mergeCell ref="B600:C604"/>
    <mergeCell ref="D600:D604"/>
    <mergeCell ref="E600:E604"/>
    <mergeCell ref="F600:F604"/>
    <mergeCell ref="G600:G604"/>
    <mergeCell ref="H600:H604"/>
    <mergeCell ref="L600:L604"/>
    <mergeCell ref="M600:M604"/>
    <mergeCell ref="L590:L594"/>
    <mergeCell ref="M590:M594"/>
    <mergeCell ref="A595:A599"/>
    <mergeCell ref="B595:C599"/>
    <mergeCell ref="D595:D599"/>
    <mergeCell ref="E595:E599"/>
    <mergeCell ref="F595:F599"/>
    <mergeCell ref="G595:G599"/>
    <mergeCell ref="H595:H599"/>
    <mergeCell ref="L595:L599"/>
    <mergeCell ref="H584:H589"/>
    <mergeCell ref="L584:L589"/>
    <mergeCell ref="M584:M589"/>
    <mergeCell ref="A590:A594"/>
    <mergeCell ref="B590:C594"/>
    <mergeCell ref="D590:D594"/>
    <mergeCell ref="E590:E594"/>
    <mergeCell ref="F590:F594"/>
    <mergeCell ref="G590:G594"/>
    <mergeCell ref="H590:H594"/>
    <mergeCell ref="G573:G583"/>
    <mergeCell ref="H573:H583"/>
    <mergeCell ref="L573:L583"/>
    <mergeCell ref="M573:M583"/>
    <mergeCell ref="A584:A589"/>
    <mergeCell ref="B584:C589"/>
    <mergeCell ref="D584:D589"/>
    <mergeCell ref="E584:E589"/>
    <mergeCell ref="F584:F589"/>
    <mergeCell ref="G584:G589"/>
    <mergeCell ref="B572:C572"/>
    <mergeCell ref="A573:A583"/>
    <mergeCell ref="B573:C583"/>
    <mergeCell ref="D573:D583"/>
    <mergeCell ref="E573:E583"/>
    <mergeCell ref="F573:F583"/>
    <mergeCell ref="M556:M560"/>
    <mergeCell ref="A561:A571"/>
    <mergeCell ref="B561:C571"/>
    <mergeCell ref="D561:D571"/>
    <mergeCell ref="E561:E571"/>
    <mergeCell ref="F561:F571"/>
    <mergeCell ref="G561:G571"/>
    <mergeCell ref="H561:H571"/>
    <mergeCell ref="L561:L571"/>
    <mergeCell ref="M561:M571"/>
    <mergeCell ref="L551:L555"/>
    <mergeCell ref="M551:M555"/>
    <mergeCell ref="A556:A560"/>
    <mergeCell ref="B556:C560"/>
    <mergeCell ref="D556:D560"/>
    <mergeCell ref="E556:E560"/>
    <mergeCell ref="F556:F560"/>
    <mergeCell ref="G556:G560"/>
    <mergeCell ref="H556:H560"/>
    <mergeCell ref="L556:L560"/>
    <mergeCell ref="H547:H550"/>
    <mergeCell ref="L547:L550"/>
    <mergeCell ref="M547:M550"/>
    <mergeCell ref="A551:A555"/>
    <mergeCell ref="B551:C555"/>
    <mergeCell ref="D551:D555"/>
    <mergeCell ref="E551:E555"/>
    <mergeCell ref="F551:F555"/>
    <mergeCell ref="G551:G555"/>
    <mergeCell ref="H551:H555"/>
    <mergeCell ref="A547:A550"/>
    <mergeCell ref="B547:C550"/>
    <mergeCell ref="D547:D550"/>
    <mergeCell ref="E547:E550"/>
    <mergeCell ref="F547:F550"/>
    <mergeCell ref="G547:G550"/>
    <mergeCell ref="M542:M544"/>
    <mergeCell ref="A545:A546"/>
    <mergeCell ref="B545:C546"/>
    <mergeCell ref="D545:D546"/>
    <mergeCell ref="E545:E546"/>
    <mergeCell ref="F545:F546"/>
    <mergeCell ref="G545:G546"/>
    <mergeCell ref="H545:H546"/>
    <mergeCell ref="L545:L546"/>
    <mergeCell ref="M545:M546"/>
    <mergeCell ref="L532:L541"/>
    <mergeCell ref="M532:M541"/>
    <mergeCell ref="A542:A544"/>
    <mergeCell ref="B542:C544"/>
    <mergeCell ref="D542:D544"/>
    <mergeCell ref="E542:E544"/>
    <mergeCell ref="F542:F544"/>
    <mergeCell ref="G542:G544"/>
    <mergeCell ref="H542:H544"/>
    <mergeCell ref="L542:L544"/>
    <mergeCell ref="H522:H531"/>
    <mergeCell ref="L522:L531"/>
    <mergeCell ref="M522:M531"/>
    <mergeCell ref="A532:A541"/>
    <mergeCell ref="B532:C541"/>
    <mergeCell ref="D532:D541"/>
    <mergeCell ref="E532:E541"/>
    <mergeCell ref="F532:F541"/>
    <mergeCell ref="G532:G541"/>
    <mergeCell ref="H532:H541"/>
    <mergeCell ref="A522:A531"/>
    <mergeCell ref="B522:C531"/>
    <mergeCell ref="D522:D531"/>
    <mergeCell ref="E522:E531"/>
    <mergeCell ref="F522:F531"/>
    <mergeCell ref="G522:G531"/>
    <mergeCell ref="M508:M513"/>
    <mergeCell ref="A514:A521"/>
    <mergeCell ref="B514:C521"/>
    <mergeCell ref="D514:D521"/>
    <mergeCell ref="E514:E521"/>
    <mergeCell ref="F514:F521"/>
    <mergeCell ref="G514:G521"/>
    <mergeCell ref="H514:H521"/>
    <mergeCell ref="L514:L521"/>
    <mergeCell ref="M514:M521"/>
    <mergeCell ref="L505:L507"/>
    <mergeCell ref="M505:M507"/>
    <mergeCell ref="A508:A513"/>
    <mergeCell ref="B508:C513"/>
    <mergeCell ref="D508:D513"/>
    <mergeCell ref="E508:E513"/>
    <mergeCell ref="F508:F513"/>
    <mergeCell ref="G508:G513"/>
    <mergeCell ref="H508:H513"/>
    <mergeCell ref="L508:L513"/>
    <mergeCell ref="H498:H504"/>
    <mergeCell ref="L498:L504"/>
    <mergeCell ref="M498:M504"/>
    <mergeCell ref="A505:A507"/>
    <mergeCell ref="B505:C507"/>
    <mergeCell ref="D505:D507"/>
    <mergeCell ref="E505:E507"/>
    <mergeCell ref="F505:F507"/>
    <mergeCell ref="G505:G507"/>
    <mergeCell ref="H505:H507"/>
    <mergeCell ref="A498:A504"/>
    <mergeCell ref="B498:C504"/>
    <mergeCell ref="D498:D504"/>
    <mergeCell ref="E498:E504"/>
    <mergeCell ref="F498:F504"/>
    <mergeCell ref="G498:G504"/>
    <mergeCell ref="M489:M494"/>
    <mergeCell ref="A495:A497"/>
    <mergeCell ref="B495:C497"/>
    <mergeCell ref="D495:D497"/>
    <mergeCell ref="E495:E497"/>
    <mergeCell ref="F495:F497"/>
    <mergeCell ref="G495:G497"/>
    <mergeCell ref="H495:H497"/>
    <mergeCell ref="L495:L497"/>
    <mergeCell ref="M495:M497"/>
    <mergeCell ref="L485:L488"/>
    <mergeCell ref="M485:M488"/>
    <mergeCell ref="A489:A494"/>
    <mergeCell ref="B489:C494"/>
    <mergeCell ref="D489:D494"/>
    <mergeCell ref="E489:E494"/>
    <mergeCell ref="F489:F494"/>
    <mergeCell ref="G489:G494"/>
    <mergeCell ref="H489:H494"/>
    <mergeCell ref="L489:L494"/>
    <mergeCell ref="H479:H484"/>
    <mergeCell ref="L479:L484"/>
    <mergeCell ref="M479:M484"/>
    <mergeCell ref="A485:A488"/>
    <mergeCell ref="B485:C488"/>
    <mergeCell ref="D485:D488"/>
    <mergeCell ref="E485:E488"/>
    <mergeCell ref="F485:F488"/>
    <mergeCell ref="G485:G488"/>
    <mergeCell ref="H485:H488"/>
    <mergeCell ref="A479:A484"/>
    <mergeCell ref="B479:C484"/>
    <mergeCell ref="D479:D484"/>
    <mergeCell ref="E479:E484"/>
    <mergeCell ref="F479:F484"/>
    <mergeCell ref="G479:G484"/>
    <mergeCell ref="M466:M470"/>
    <mergeCell ref="A471:A478"/>
    <mergeCell ref="B471:C478"/>
    <mergeCell ref="D471:D478"/>
    <mergeCell ref="E471:E478"/>
    <mergeCell ref="F471:F478"/>
    <mergeCell ref="G471:G478"/>
    <mergeCell ref="H471:H478"/>
    <mergeCell ref="L471:L478"/>
    <mergeCell ref="M471:M478"/>
    <mergeCell ref="L463:L465"/>
    <mergeCell ref="M463:M465"/>
    <mergeCell ref="A466:A470"/>
    <mergeCell ref="B466:C470"/>
    <mergeCell ref="D466:D470"/>
    <mergeCell ref="E466:E470"/>
    <mergeCell ref="F466:F470"/>
    <mergeCell ref="G466:G470"/>
    <mergeCell ref="H466:H470"/>
    <mergeCell ref="L466:L470"/>
    <mergeCell ref="H457:H462"/>
    <mergeCell ref="L457:L462"/>
    <mergeCell ref="M457:M462"/>
    <mergeCell ref="A463:A465"/>
    <mergeCell ref="B463:C465"/>
    <mergeCell ref="D463:D465"/>
    <mergeCell ref="E463:E465"/>
    <mergeCell ref="F463:F465"/>
    <mergeCell ref="G463:G465"/>
    <mergeCell ref="H463:H465"/>
    <mergeCell ref="G451:G456"/>
    <mergeCell ref="H451:H456"/>
    <mergeCell ref="L451:L456"/>
    <mergeCell ref="M451:M456"/>
    <mergeCell ref="A457:A462"/>
    <mergeCell ref="B457:C462"/>
    <mergeCell ref="D457:D462"/>
    <mergeCell ref="E457:E462"/>
    <mergeCell ref="F457:F462"/>
    <mergeCell ref="G457:G462"/>
    <mergeCell ref="H440:H448"/>
    <mergeCell ref="L440:L448"/>
    <mergeCell ref="M440:M448"/>
    <mergeCell ref="B449:C449"/>
    <mergeCell ref="B450:C450"/>
    <mergeCell ref="A451:A456"/>
    <mergeCell ref="B451:C456"/>
    <mergeCell ref="D451:D456"/>
    <mergeCell ref="E451:E456"/>
    <mergeCell ref="F451:F456"/>
    <mergeCell ref="A440:A448"/>
    <mergeCell ref="B440:C448"/>
    <mergeCell ref="D440:D448"/>
    <mergeCell ref="E440:E448"/>
    <mergeCell ref="F440:F448"/>
    <mergeCell ref="G440:G448"/>
    <mergeCell ref="M422:M429"/>
    <mergeCell ref="A430:A439"/>
    <mergeCell ref="B430:C439"/>
    <mergeCell ref="D430:D439"/>
    <mergeCell ref="E430:E439"/>
    <mergeCell ref="F430:F439"/>
    <mergeCell ref="G430:G439"/>
    <mergeCell ref="H430:H439"/>
    <mergeCell ref="L430:L439"/>
    <mergeCell ref="M430:M439"/>
    <mergeCell ref="L415:L421"/>
    <mergeCell ref="M415:M421"/>
    <mergeCell ref="A422:A429"/>
    <mergeCell ref="B422:C429"/>
    <mergeCell ref="D422:D429"/>
    <mergeCell ref="E422:E429"/>
    <mergeCell ref="F422:F429"/>
    <mergeCell ref="G422:G429"/>
    <mergeCell ref="H422:H429"/>
    <mergeCell ref="L422:L429"/>
    <mergeCell ref="H407:H414"/>
    <mergeCell ref="L407:L414"/>
    <mergeCell ref="M407:M414"/>
    <mergeCell ref="A415:A421"/>
    <mergeCell ref="B415:C421"/>
    <mergeCell ref="D415:D421"/>
    <mergeCell ref="E415:E421"/>
    <mergeCell ref="F415:F421"/>
    <mergeCell ref="G415:G421"/>
    <mergeCell ref="H415:H421"/>
    <mergeCell ref="G400:G406"/>
    <mergeCell ref="H400:H406"/>
    <mergeCell ref="L400:L406"/>
    <mergeCell ref="M400:M406"/>
    <mergeCell ref="A407:A414"/>
    <mergeCell ref="B407:C414"/>
    <mergeCell ref="D407:D414"/>
    <mergeCell ref="E407:E414"/>
    <mergeCell ref="F407:F414"/>
    <mergeCell ref="G407:G414"/>
    <mergeCell ref="B399:C399"/>
    <mergeCell ref="A400:A406"/>
    <mergeCell ref="B400:C406"/>
    <mergeCell ref="D400:D406"/>
    <mergeCell ref="E400:E406"/>
    <mergeCell ref="F400:F406"/>
    <mergeCell ref="M388:M392"/>
    <mergeCell ref="A393:A398"/>
    <mergeCell ref="B393:C398"/>
    <mergeCell ref="D393:D398"/>
    <mergeCell ref="E393:E398"/>
    <mergeCell ref="F393:F398"/>
    <mergeCell ref="G393:G398"/>
    <mergeCell ref="H393:H398"/>
    <mergeCell ref="L393:L398"/>
    <mergeCell ref="M393:M398"/>
    <mergeCell ref="L385:L387"/>
    <mergeCell ref="M385:M387"/>
    <mergeCell ref="A388:A392"/>
    <mergeCell ref="B388:C392"/>
    <mergeCell ref="D388:D392"/>
    <mergeCell ref="E388:E392"/>
    <mergeCell ref="F388:F392"/>
    <mergeCell ref="G388:G392"/>
    <mergeCell ref="H388:H392"/>
    <mergeCell ref="L388:L392"/>
    <mergeCell ref="H380:H384"/>
    <mergeCell ref="L380:L384"/>
    <mergeCell ref="M380:M384"/>
    <mergeCell ref="A385:A387"/>
    <mergeCell ref="B385:C387"/>
    <mergeCell ref="D385:D387"/>
    <mergeCell ref="E385:E387"/>
    <mergeCell ref="F385:F387"/>
    <mergeCell ref="G385:G387"/>
    <mergeCell ref="H385:H387"/>
    <mergeCell ref="H374:H378"/>
    <mergeCell ref="L374:L378"/>
    <mergeCell ref="M374:M378"/>
    <mergeCell ref="B379:C379"/>
    <mergeCell ref="A380:A384"/>
    <mergeCell ref="B380:C384"/>
    <mergeCell ref="D380:D384"/>
    <mergeCell ref="E380:E384"/>
    <mergeCell ref="F380:F384"/>
    <mergeCell ref="G380:G384"/>
    <mergeCell ref="L366:L371"/>
    <mergeCell ref="M366:M371"/>
    <mergeCell ref="B372:C372"/>
    <mergeCell ref="B373:C373"/>
    <mergeCell ref="A374:A378"/>
    <mergeCell ref="B374:C378"/>
    <mergeCell ref="D374:D378"/>
    <mergeCell ref="E374:E378"/>
    <mergeCell ref="F374:F378"/>
    <mergeCell ref="G374:G378"/>
    <mergeCell ref="L361:L364"/>
    <mergeCell ref="M361:M364"/>
    <mergeCell ref="B365:C365"/>
    <mergeCell ref="A366:A371"/>
    <mergeCell ref="B366:C371"/>
    <mergeCell ref="D366:D371"/>
    <mergeCell ref="E366:E371"/>
    <mergeCell ref="F366:F371"/>
    <mergeCell ref="G366:G371"/>
    <mergeCell ref="H366:H371"/>
    <mergeCell ref="H357:H360"/>
    <mergeCell ref="L357:L360"/>
    <mergeCell ref="M357:M360"/>
    <mergeCell ref="A361:A364"/>
    <mergeCell ref="B361:C364"/>
    <mergeCell ref="D361:D364"/>
    <mergeCell ref="E361:E364"/>
    <mergeCell ref="F361:F364"/>
    <mergeCell ref="G361:G364"/>
    <mergeCell ref="H361:H364"/>
    <mergeCell ref="G354:G356"/>
    <mergeCell ref="H354:H356"/>
    <mergeCell ref="L354:L356"/>
    <mergeCell ref="M354:M356"/>
    <mergeCell ref="A357:A360"/>
    <mergeCell ref="B357:C360"/>
    <mergeCell ref="D357:D360"/>
    <mergeCell ref="E357:E360"/>
    <mergeCell ref="F357:F360"/>
    <mergeCell ref="G357:G360"/>
    <mergeCell ref="B353:C353"/>
    <mergeCell ref="A354:A356"/>
    <mergeCell ref="B354:C356"/>
    <mergeCell ref="D354:D356"/>
    <mergeCell ref="E354:E356"/>
    <mergeCell ref="F354:F356"/>
    <mergeCell ref="E348:E352"/>
    <mergeCell ref="F348:F352"/>
    <mergeCell ref="G348:G352"/>
    <mergeCell ref="H348:H352"/>
    <mergeCell ref="L348:L352"/>
    <mergeCell ref="M348:M352"/>
    <mergeCell ref="B345:C345"/>
    <mergeCell ref="B346:C346"/>
    <mergeCell ref="B347:C347"/>
    <mergeCell ref="A348:A352"/>
    <mergeCell ref="B348:C352"/>
    <mergeCell ref="D348:D352"/>
    <mergeCell ref="M333:M335"/>
    <mergeCell ref="A336:A344"/>
    <mergeCell ref="B336:C344"/>
    <mergeCell ref="D336:D344"/>
    <mergeCell ref="E336:E344"/>
    <mergeCell ref="F336:F344"/>
    <mergeCell ref="G336:G344"/>
    <mergeCell ref="H336:H344"/>
    <mergeCell ref="L336:L344"/>
    <mergeCell ref="M336:M344"/>
    <mergeCell ref="L327:L332"/>
    <mergeCell ref="M327:M332"/>
    <mergeCell ref="A333:A335"/>
    <mergeCell ref="B333:C335"/>
    <mergeCell ref="D333:D335"/>
    <mergeCell ref="E333:E335"/>
    <mergeCell ref="F333:F335"/>
    <mergeCell ref="G333:G335"/>
    <mergeCell ref="H333:H335"/>
    <mergeCell ref="L333:L335"/>
    <mergeCell ref="L323:L325"/>
    <mergeCell ref="M323:M325"/>
    <mergeCell ref="B326:C326"/>
    <mergeCell ref="A327:A332"/>
    <mergeCell ref="B327:C332"/>
    <mergeCell ref="D327:D332"/>
    <mergeCell ref="E327:E332"/>
    <mergeCell ref="F327:F332"/>
    <mergeCell ref="G327:G332"/>
    <mergeCell ref="H327:H332"/>
    <mergeCell ref="H319:H322"/>
    <mergeCell ref="L319:L322"/>
    <mergeCell ref="M319:M322"/>
    <mergeCell ref="A323:A325"/>
    <mergeCell ref="B323:C325"/>
    <mergeCell ref="D323:D325"/>
    <mergeCell ref="E323:E325"/>
    <mergeCell ref="F323:F325"/>
    <mergeCell ref="G323:G325"/>
    <mergeCell ref="H323:H325"/>
    <mergeCell ref="H313:H317"/>
    <mergeCell ref="L313:L317"/>
    <mergeCell ref="M313:M317"/>
    <mergeCell ref="B318:C318"/>
    <mergeCell ref="A319:A322"/>
    <mergeCell ref="B319:C322"/>
    <mergeCell ref="D319:D322"/>
    <mergeCell ref="E319:E322"/>
    <mergeCell ref="F319:F322"/>
    <mergeCell ref="G319:G322"/>
    <mergeCell ref="G307:G312"/>
    <mergeCell ref="H307:H312"/>
    <mergeCell ref="L307:L312"/>
    <mergeCell ref="M307:M312"/>
    <mergeCell ref="A313:A317"/>
    <mergeCell ref="B313:C317"/>
    <mergeCell ref="D313:D317"/>
    <mergeCell ref="E313:E317"/>
    <mergeCell ref="F313:F317"/>
    <mergeCell ref="G313:G317"/>
    <mergeCell ref="B306:C306"/>
    <mergeCell ref="A307:A312"/>
    <mergeCell ref="B307:C312"/>
    <mergeCell ref="D307:D312"/>
    <mergeCell ref="E307:E312"/>
    <mergeCell ref="F307:F312"/>
    <mergeCell ref="M300:M302"/>
    <mergeCell ref="A303:A305"/>
    <mergeCell ref="B303:C305"/>
    <mergeCell ref="D303:D305"/>
    <mergeCell ref="E303:E305"/>
    <mergeCell ref="F303:F305"/>
    <mergeCell ref="G303:G305"/>
    <mergeCell ref="H303:H305"/>
    <mergeCell ref="L303:L305"/>
    <mergeCell ref="M303:M305"/>
    <mergeCell ref="L295:L299"/>
    <mergeCell ref="M295:M299"/>
    <mergeCell ref="A300:A302"/>
    <mergeCell ref="B300:C302"/>
    <mergeCell ref="D300:D302"/>
    <mergeCell ref="E300:E302"/>
    <mergeCell ref="F300:F302"/>
    <mergeCell ref="G300:G302"/>
    <mergeCell ref="H300:H302"/>
    <mergeCell ref="L300:L302"/>
    <mergeCell ref="H291:H294"/>
    <mergeCell ref="L291:L294"/>
    <mergeCell ref="M291:M294"/>
    <mergeCell ref="A295:A299"/>
    <mergeCell ref="B295:C299"/>
    <mergeCell ref="D295:D299"/>
    <mergeCell ref="E295:E299"/>
    <mergeCell ref="F295:F299"/>
    <mergeCell ref="G295:G299"/>
    <mergeCell ref="H295:H299"/>
    <mergeCell ref="G286:G290"/>
    <mergeCell ref="H286:H290"/>
    <mergeCell ref="L286:L290"/>
    <mergeCell ref="M286:M290"/>
    <mergeCell ref="A291:A294"/>
    <mergeCell ref="B291:C294"/>
    <mergeCell ref="D291:D294"/>
    <mergeCell ref="E291:E294"/>
    <mergeCell ref="F291:F294"/>
    <mergeCell ref="G291:G294"/>
    <mergeCell ref="H281:H283"/>
    <mergeCell ref="L281:L283"/>
    <mergeCell ref="M281:M283"/>
    <mergeCell ref="B284:C284"/>
    <mergeCell ref="B285:C285"/>
    <mergeCell ref="A286:A290"/>
    <mergeCell ref="B286:C290"/>
    <mergeCell ref="D286:D290"/>
    <mergeCell ref="E286:E290"/>
    <mergeCell ref="F286:F290"/>
    <mergeCell ref="L276:L278"/>
    <mergeCell ref="M276:M278"/>
    <mergeCell ref="B279:C279"/>
    <mergeCell ref="B280:C280"/>
    <mergeCell ref="A281:A283"/>
    <mergeCell ref="B281:C283"/>
    <mergeCell ref="D281:D283"/>
    <mergeCell ref="E281:E283"/>
    <mergeCell ref="F281:F283"/>
    <mergeCell ref="G281:G283"/>
    <mergeCell ref="H273:H275"/>
    <mergeCell ref="L273:L275"/>
    <mergeCell ref="M273:M275"/>
    <mergeCell ref="A276:A278"/>
    <mergeCell ref="B276:C278"/>
    <mergeCell ref="D276:D278"/>
    <mergeCell ref="E276:E278"/>
    <mergeCell ref="F276:F278"/>
    <mergeCell ref="G276:G278"/>
    <mergeCell ref="H276:H278"/>
    <mergeCell ref="H268:H271"/>
    <mergeCell ref="L268:L271"/>
    <mergeCell ref="M268:M271"/>
    <mergeCell ref="B272:C272"/>
    <mergeCell ref="A273:A275"/>
    <mergeCell ref="B273:C275"/>
    <mergeCell ref="D273:D275"/>
    <mergeCell ref="E273:E275"/>
    <mergeCell ref="F273:F275"/>
    <mergeCell ref="G273:G275"/>
    <mergeCell ref="A268:A271"/>
    <mergeCell ref="B268:C271"/>
    <mergeCell ref="D268:D271"/>
    <mergeCell ref="E268:E271"/>
    <mergeCell ref="F268:F271"/>
    <mergeCell ref="G268:G271"/>
    <mergeCell ref="F264:F266"/>
    <mergeCell ref="G264:G266"/>
    <mergeCell ref="H264:H266"/>
    <mergeCell ref="L264:L266"/>
    <mergeCell ref="M264:M266"/>
    <mergeCell ref="B267:C267"/>
    <mergeCell ref="B262:C262"/>
    <mergeCell ref="B263:C263"/>
    <mergeCell ref="A264:A266"/>
    <mergeCell ref="B264:C266"/>
    <mergeCell ref="D264:D266"/>
    <mergeCell ref="E264:E266"/>
    <mergeCell ref="G256:G259"/>
    <mergeCell ref="H256:H259"/>
    <mergeCell ref="L256:L259"/>
    <mergeCell ref="M256:M259"/>
    <mergeCell ref="B260:C260"/>
    <mergeCell ref="B261:C261"/>
    <mergeCell ref="H250:H253"/>
    <mergeCell ref="L250:L253"/>
    <mergeCell ref="M250:M253"/>
    <mergeCell ref="B254:C254"/>
    <mergeCell ref="B255:C255"/>
    <mergeCell ref="A256:A259"/>
    <mergeCell ref="B256:C259"/>
    <mergeCell ref="D256:D259"/>
    <mergeCell ref="E256:E259"/>
    <mergeCell ref="F256:F259"/>
    <mergeCell ref="H245:H248"/>
    <mergeCell ref="L245:L248"/>
    <mergeCell ref="M245:M248"/>
    <mergeCell ref="B249:C249"/>
    <mergeCell ref="A250:A253"/>
    <mergeCell ref="B250:C253"/>
    <mergeCell ref="D250:D253"/>
    <mergeCell ref="E250:E253"/>
    <mergeCell ref="F250:F253"/>
    <mergeCell ref="G250:G253"/>
    <mergeCell ref="A245:A248"/>
    <mergeCell ref="B245:C248"/>
    <mergeCell ref="D245:D248"/>
    <mergeCell ref="E245:E248"/>
    <mergeCell ref="F245:F248"/>
    <mergeCell ref="G245:G248"/>
    <mergeCell ref="M239:M241"/>
    <mergeCell ref="A242:A244"/>
    <mergeCell ref="B242:C244"/>
    <mergeCell ref="D242:D244"/>
    <mergeCell ref="E242:E244"/>
    <mergeCell ref="F242:F244"/>
    <mergeCell ref="G242:G244"/>
    <mergeCell ref="H242:H244"/>
    <mergeCell ref="L242:L244"/>
    <mergeCell ref="M242:M244"/>
    <mergeCell ref="L234:L238"/>
    <mergeCell ref="M234:M238"/>
    <mergeCell ref="A239:A241"/>
    <mergeCell ref="B239:C241"/>
    <mergeCell ref="D239:D241"/>
    <mergeCell ref="E239:E241"/>
    <mergeCell ref="F239:F241"/>
    <mergeCell ref="G239:G241"/>
    <mergeCell ref="H239:H241"/>
    <mergeCell ref="L239:L241"/>
    <mergeCell ref="H229:H233"/>
    <mergeCell ref="L229:L233"/>
    <mergeCell ref="M229:M233"/>
    <mergeCell ref="A234:A238"/>
    <mergeCell ref="B234:C238"/>
    <mergeCell ref="D234:D238"/>
    <mergeCell ref="E234:E238"/>
    <mergeCell ref="F234:F238"/>
    <mergeCell ref="G234:G238"/>
    <mergeCell ref="H234:H238"/>
    <mergeCell ref="H225:H227"/>
    <mergeCell ref="L225:L227"/>
    <mergeCell ref="M225:M227"/>
    <mergeCell ref="B228:C228"/>
    <mergeCell ref="A229:A233"/>
    <mergeCell ref="B229:C233"/>
    <mergeCell ref="D229:D233"/>
    <mergeCell ref="E229:E233"/>
    <mergeCell ref="F229:F233"/>
    <mergeCell ref="G229:G233"/>
    <mergeCell ref="G222:G224"/>
    <mergeCell ref="H222:H224"/>
    <mergeCell ref="L222:L224"/>
    <mergeCell ref="M222:M224"/>
    <mergeCell ref="A225:A227"/>
    <mergeCell ref="B225:C227"/>
    <mergeCell ref="D225:D227"/>
    <mergeCell ref="E225:E227"/>
    <mergeCell ref="F225:F227"/>
    <mergeCell ref="G225:G227"/>
    <mergeCell ref="B221:C221"/>
    <mergeCell ref="A222:A224"/>
    <mergeCell ref="B222:C224"/>
    <mergeCell ref="D222:D224"/>
    <mergeCell ref="E222:E224"/>
    <mergeCell ref="F222:F224"/>
    <mergeCell ref="M214:M217"/>
    <mergeCell ref="A218:A220"/>
    <mergeCell ref="B218:C220"/>
    <mergeCell ref="D218:D220"/>
    <mergeCell ref="E218:E220"/>
    <mergeCell ref="F218:F220"/>
    <mergeCell ref="G218:G220"/>
    <mergeCell ref="H218:H220"/>
    <mergeCell ref="L218:L220"/>
    <mergeCell ref="M218:M220"/>
    <mergeCell ref="L210:L213"/>
    <mergeCell ref="M210:M213"/>
    <mergeCell ref="A214:A217"/>
    <mergeCell ref="B214:C217"/>
    <mergeCell ref="D214:D217"/>
    <mergeCell ref="E214:E217"/>
    <mergeCell ref="F214:F217"/>
    <mergeCell ref="G214:G217"/>
    <mergeCell ref="H214:H217"/>
    <mergeCell ref="L214:L217"/>
    <mergeCell ref="H204:H209"/>
    <mergeCell ref="L204:L209"/>
    <mergeCell ref="M204:M209"/>
    <mergeCell ref="A210:A213"/>
    <mergeCell ref="B210:C213"/>
    <mergeCell ref="D210:D213"/>
    <mergeCell ref="E210:E213"/>
    <mergeCell ref="F210:F213"/>
    <mergeCell ref="G210:G213"/>
    <mergeCell ref="H210:H213"/>
    <mergeCell ref="L199:L201"/>
    <mergeCell ref="M199:M201"/>
    <mergeCell ref="B202:C202"/>
    <mergeCell ref="B203:C203"/>
    <mergeCell ref="A204:A209"/>
    <mergeCell ref="B204:C209"/>
    <mergeCell ref="D204:D209"/>
    <mergeCell ref="E204:E209"/>
    <mergeCell ref="F204:F209"/>
    <mergeCell ref="G204:G209"/>
    <mergeCell ref="H196:H198"/>
    <mergeCell ref="L196:L198"/>
    <mergeCell ref="M196:M198"/>
    <mergeCell ref="A199:A201"/>
    <mergeCell ref="B199:C201"/>
    <mergeCell ref="D199:D201"/>
    <mergeCell ref="E199:E201"/>
    <mergeCell ref="F199:F201"/>
    <mergeCell ref="G199:G201"/>
    <mergeCell ref="H199:H201"/>
    <mergeCell ref="L187:L193"/>
    <mergeCell ref="M187:M193"/>
    <mergeCell ref="B194:C194"/>
    <mergeCell ref="B195:C195"/>
    <mergeCell ref="A196:A198"/>
    <mergeCell ref="B196:C198"/>
    <mergeCell ref="D196:D198"/>
    <mergeCell ref="E196:E198"/>
    <mergeCell ref="F196:F198"/>
    <mergeCell ref="G196:G198"/>
    <mergeCell ref="H183:H186"/>
    <mergeCell ref="L183:L186"/>
    <mergeCell ref="M183:M186"/>
    <mergeCell ref="A187:A193"/>
    <mergeCell ref="B187:C193"/>
    <mergeCell ref="D187:D193"/>
    <mergeCell ref="E187:E193"/>
    <mergeCell ref="F187:F193"/>
    <mergeCell ref="G187:G193"/>
    <mergeCell ref="H187:H193"/>
    <mergeCell ref="H176:H181"/>
    <mergeCell ref="L176:L181"/>
    <mergeCell ref="M176:M181"/>
    <mergeCell ref="B182:C182"/>
    <mergeCell ref="A183:A186"/>
    <mergeCell ref="B183:C186"/>
    <mergeCell ref="D183:D186"/>
    <mergeCell ref="E183:E186"/>
    <mergeCell ref="F183:F186"/>
    <mergeCell ref="G183:G186"/>
    <mergeCell ref="A176:A181"/>
    <mergeCell ref="B176:C181"/>
    <mergeCell ref="D176:D181"/>
    <mergeCell ref="E176:E181"/>
    <mergeCell ref="F176:F181"/>
    <mergeCell ref="G176:G181"/>
    <mergeCell ref="M167:M172"/>
    <mergeCell ref="A173:A175"/>
    <mergeCell ref="B173:C175"/>
    <mergeCell ref="D173:D175"/>
    <mergeCell ref="E173:E175"/>
    <mergeCell ref="F173:F175"/>
    <mergeCell ref="G173:G175"/>
    <mergeCell ref="H173:H175"/>
    <mergeCell ref="L173:L175"/>
    <mergeCell ref="M173:M175"/>
    <mergeCell ref="L162:L166"/>
    <mergeCell ref="M162:M166"/>
    <mergeCell ref="A167:A172"/>
    <mergeCell ref="B167:C172"/>
    <mergeCell ref="D167:D172"/>
    <mergeCell ref="E167:E172"/>
    <mergeCell ref="F167:F172"/>
    <mergeCell ref="G167:G172"/>
    <mergeCell ref="H167:H172"/>
    <mergeCell ref="L167:L172"/>
    <mergeCell ref="H157:H161"/>
    <mergeCell ref="L157:L161"/>
    <mergeCell ref="M157:M161"/>
    <mergeCell ref="A162:A166"/>
    <mergeCell ref="B162:C166"/>
    <mergeCell ref="D162:D166"/>
    <mergeCell ref="E162:E166"/>
    <mergeCell ref="F162:F166"/>
    <mergeCell ref="G162:G166"/>
    <mergeCell ref="H162:H166"/>
    <mergeCell ref="A157:A161"/>
    <mergeCell ref="B157:C161"/>
    <mergeCell ref="D157:D161"/>
    <mergeCell ref="E157:E161"/>
    <mergeCell ref="F157:F161"/>
    <mergeCell ref="G157:G161"/>
    <mergeCell ref="H148:H152"/>
    <mergeCell ref="L148:L152"/>
    <mergeCell ref="M148:M152"/>
    <mergeCell ref="A153:A156"/>
    <mergeCell ref="B153:C156"/>
    <mergeCell ref="F153:F156"/>
    <mergeCell ref="G153:G156"/>
    <mergeCell ref="H153:H156"/>
    <mergeCell ref="L153:L156"/>
    <mergeCell ref="M153:M156"/>
    <mergeCell ref="A148:A152"/>
    <mergeCell ref="B148:C152"/>
    <mergeCell ref="D148:D152"/>
    <mergeCell ref="E148:E152"/>
    <mergeCell ref="F148:F152"/>
    <mergeCell ref="G148:G152"/>
    <mergeCell ref="M138:M141"/>
    <mergeCell ref="A142:A147"/>
    <mergeCell ref="B142:C147"/>
    <mergeCell ref="D142:D147"/>
    <mergeCell ref="E142:E147"/>
    <mergeCell ref="F142:F147"/>
    <mergeCell ref="G142:G147"/>
    <mergeCell ref="H142:H147"/>
    <mergeCell ref="L142:L147"/>
    <mergeCell ref="M142:M147"/>
    <mergeCell ref="L132:L137"/>
    <mergeCell ref="M132:M137"/>
    <mergeCell ref="A138:A141"/>
    <mergeCell ref="B138:C141"/>
    <mergeCell ref="D138:D141"/>
    <mergeCell ref="E138:E141"/>
    <mergeCell ref="F138:F141"/>
    <mergeCell ref="G138:G141"/>
    <mergeCell ref="H138:H141"/>
    <mergeCell ref="L138:L141"/>
    <mergeCell ref="L126:L130"/>
    <mergeCell ref="M126:M130"/>
    <mergeCell ref="B131:C131"/>
    <mergeCell ref="A132:A137"/>
    <mergeCell ref="B132:C137"/>
    <mergeCell ref="D132:D137"/>
    <mergeCell ref="E132:E137"/>
    <mergeCell ref="F132:F137"/>
    <mergeCell ref="G132:G137"/>
    <mergeCell ref="H132:H137"/>
    <mergeCell ref="H115:H125"/>
    <mergeCell ref="L115:L125"/>
    <mergeCell ref="M115:M125"/>
    <mergeCell ref="A126:A130"/>
    <mergeCell ref="B126:C130"/>
    <mergeCell ref="D126:D130"/>
    <mergeCell ref="E126:E130"/>
    <mergeCell ref="F126:F130"/>
    <mergeCell ref="G126:G130"/>
    <mergeCell ref="H126:H130"/>
    <mergeCell ref="A115:A125"/>
    <mergeCell ref="B115:C125"/>
    <mergeCell ref="D115:D125"/>
    <mergeCell ref="E115:E125"/>
    <mergeCell ref="F115:F125"/>
    <mergeCell ref="G115:G125"/>
    <mergeCell ref="M99:M111"/>
    <mergeCell ref="A112:A114"/>
    <mergeCell ref="B112:C114"/>
    <mergeCell ref="D112:D114"/>
    <mergeCell ref="E112:E114"/>
    <mergeCell ref="F112:F114"/>
    <mergeCell ref="G112:G114"/>
    <mergeCell ref="H112:H114"/>
    <mergeCell ref="L112:L114"/>
    <mergeCell ref="M112:M114"/>
    <mergeCell ref="L93:L98"/>
    <mergeCell ref="M93:M98"/>
    <mergeCell ref="A99:A111"/>
    <mergeCell ref="B99:C111"/>
    <mergeCell ref="D99:D111"/>
    <mergeCell ref="E99:E111"/>
    <mergeCell ref="F99:F111"/>
    <mergeCell ref="G99:G111"/>
    <mergeCell ref="H99:H111"/>
    <mergeCell ref="L99:L111"/>
    <mergeCell ref="H90:H92"/>
    <mergeCell ref="L90:L92"/>
    <mergeCell ref="M90:M92"/>
    <mergeCell ref="A93:A98"/>
    <mergeCell ref="B93:C98"/>
    <mergeCell ref="D93:D98"/>
    <mergeCell ref="E93:E98"/>
    <mergeCell ref="F93:F98"/>
    <mergeCell ref="G93:G98"/>
    <mergeCell ref="H93:H98"/>
    <mergeCell ref="H86:H88"/>
    <mergeCell ref="L86:L88"/>
    <mergeCell ref="M86:M88"/>
    <mergeCell ref="B89:C89"/>
    <mergeCell ref="A90:A92"/>
    <mergeCell ref="B90:C92"/>
    <mergeCell ref="D90:D92"/>
    <mergeCell ref="E90:E92"/>
    <mergeCell ref="F90:F92"/>
    <mergeCell ref="G90:G92"/>
    <mergeCell ref="A86:A88"/>
    <mergeCell ref="B86:C88"/>
    <mergeCell ref="D86:D88"/>
    <mergeCell ref="E86:E88"/>
    <mergeCell ref="F86:F88"/>
    <mergeCell ref="G86:G88"/>
    <mergeCell ref="M73:M78"/>
    <mergeCell ref="A79:A85"/>
    <mergeCell ref="B79:C85"/>
    <mergeCell ref="D79:D85"/>
    <mergeCell ref="E79:E85"/>
    <mergeCell ref="F79:F85"/>
    <mergeCell ref="G79:G85"/>
    <mergeCell ref="H79:H85"/>
    <mergeCell ref="L79:L85"/>
    <mergeCell ref="M79:M85"/>
    <mergeCell ref="L68:L72"/>
    <mergeCell ref="M68:M72"/>
    <mergeCell ref="A73:A78"/>
    <mergeCell ref="B73:C78"/>
    <mergeCell ref="D73:D78"/>
    <mergeCell ref="E73:E78"/>
    <mergeCell ref="F73:F78"/>
    <mergeCell ref="G73:G78"/>
    <mergeCell ref="H73:H78"/>
    <mergeCell ref="L73:L78"/>
    <mergeCell ref="H65:H67"/>
    <mergeCell ref="L65:L67"/>
    <mergeCell ref="M65:M67"/>
    <mergeCell ref="A68:A72"/>
    <mergeCell ref="B68:C72"/>
    <mergeCell ref="D68:D72"/>
    <mergeCell ref="E68:E72"/>
    <mergeCell ref="F68:F72"/>
    <mergeCell ref="G68:G72"/>
    <mergeCell ref="H68:H72"/>
    <mergeCell ref="A65:A67"/>
    <mergeCell ref="B65:C67"/>
    <mergeCell ref="D65:D67"/>
    <mergeCell ref="E65:E67"/>
    <mergeCell ref="F65:F67"/>
    <mergeCell ref="G65:G67"/>
    <mergeCell ref="M49:M51"/>
    <mergeCell ref="A52:A64"/>
    <mergeCell ref="B52:C64"/>
    <mergeCell ref="D52:D64"/>
    <mergeCell ref="E52:E64"/>
    <mergeCell ref="F52:F64"/>
    <mergeCell ref="G52:G64"/>
    <mergeCell ref="H52:H64"/>
    <mergeCell ref="L52:L64"/>
    <mergeCell ref="M52:M64"/>
    <mergeCell ref="L46:L48"/>
    <mergeCell ref="M46:M48"/>
    <mergeCell ref="A49:A51"/>
    <mergeCell ref="B49:C51"/>
    <mergeCell ref="D49:D51"/>
    <mergeCell ref="E49:E51"/>
    <mergeCell ref="F49:F51"/>
    <mergeCell ref="G49:G51"/>
    <mergeCell ref="H49:H51"/>
    <mergeCell ref="L49:L51"/>
    <mergeCell ref="H40:H45"/>
    <mergeCell ref="L40:L45"/>
    <mergeCell ref="M40:M45"/>
    <mergeCell ref="A46:A48"/>
    <mergeCell ref="B46:C48"/>
    <mergeCell ref="D46:D48"/>
    <mergeCell ref="E46:E48"/>
    <mergeCell ref="F46:F48"/>
    <mergeCell ref="G46:G48"/>
    <mergeCell ref="H46:H48"/>
    <mergeCell ref="A40:A45"/>
    <mergeCell ref="B40:C45"/>
    <mergeCell ref="D40:D45"/>
    <mergeCell ref="E40:E45"/>
    <mergeCell ref="F40:F45"/>
    <mergeCell ref="G40:G45"/>
    <mergeCell ref="M31:M34"/>
    <mergeCell ref="A35:A39"/>
    <mergeCell ref="B35:C39"/>
    <mergeCell ref="D35:D39"/>
    <mergeCell ref="E35:E39"/>
    <mergeCell ref="F35:F39"/>
    <mergeCell ref="G35:G39"/>
    <mergeCell ref="H35:H39"/>
    <mergeCell ref="L35:L39"/>
    <mergeCell ref="M35:M39"/>
    <mergeCell ref="L26:L30"/>
    <mergeCell ref="M26:M30"/>
    <mergeCell ref="A31:A34"/>
    <mergeCell ref="B31:C34"/>
    <mergeCell ref="D31:D34"/>
    <mergeCell ref="E31:E34"/>
    <mergeCell ref="F31:F34"/>
    <mergeCell ref="G31:G34"/>
    <mergeCell ref="H31:H34"/>
    <mergeCell ref="L31:L34"/>
    <mergeCell ref="H21:H25"/>
    <mergeCell ref="L21:L25"/>
    <mergeCell ref="M21:M25"/>
    <mergeCell ref="A26:A30"/>
    <mergeCell ref="B26:C30"/>
    <mergeCell ref="D26:D30"/>
    <mergeCell ref="E26:E30"/>
    <mergeCell ref="F26:F30"/>
    <mergeCell ref="G26:G30"/>
    <mergeCell ref="H26:H30"/>
    <mergeCell ref="A21:A25"/>
    <mergeCell ref="B21:C25"/>
    <mergeCell ref="D21:D25"/>
    <mergeCell ref="E21:E25"/>
    <mergeCell ref="F21:F25"/>
    <mergeCell ref="G21:G25"/>
    <mergeCell ref="M6:M11"/>
    <mergeCell ref="A12:A20"/>
    <mergeCell ref="B12:C20"/>
    <mergeCell ref="D12:D20"/>
    <mergeCell ref="E12:E20"/>
    <mergeCell ref="F12:F20"/>
    <mergeCell ref="G12:G20"/>
    <mergeCell ref="H12:H20"/>
    <mergeCell ref="L12:L20"/>
    <mergeCell ref="M12:M20"/>
    <mergeCell ref="L4:L5"/>
    <mergeCell ref="M4:M5"/>
    <mergeCell ref="A6:A11"/>
    <mergeCell ref="B6:C11"/>
    <mergeCell ref="D6:D11"/>
    <mergeCell ref="E6:E11"/>
    <mergeCell ref="F6:F11"/>
    <mergeCell ref="G6:G11"/>
    <mergeCell ref="H6:H11"/>
    <mergeCell ref="L6:L11"/>
    <mergeCell ref="A1:A3"/>
    <mergeCell ref="L1:M1"/>
    <mergeCell ref="L2:M2"/>
    <mergeCell ref="A4:A5"/>
    <mergeCell ref="B4:C5"/>
    <mergeCell ref="D4:D5"/>
    <mergeCell ref="E4:H4"/>
    <mergeCell ref="I4:I5"/>
    <mergeCell ref="J4:J5"/>
    <mergeCell ref="K4:K5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8 เดือน.xlsx]000'!#REF!</xm:f>
          </x14:formula1>
          <xm:sqref>L2:M2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2.5.1</vt:lpstr>
      <vt:lpstr>รายละเอียด 2.5.1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2022-06-20T09:03:07Z</dcterms:created>
  <dcterms:modified xsi:type="dcterms:W3CDTF">2022-06-20T09:03:17Z</dcterms:modified>
</cp:coreProperties>
</file>