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7980"/>
  </bookViews>
  <sheets>
    <sheet name="1.1.4" sheetId="1" r:id="rId1"/>
    <sheet name="รายละเอียด 1.1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2" l="1"/>
  <c r="E113" i="2"/>
  <c r="H112" i="2"/>
  <c r="F112" i="2"/>
  <c r="G112" i="2" s="1"/>
  <c r="F111" i="2"/>
  <c r="G111" i="2" s="1"/>
  <c r="G110" i="2"/>
  <c r="F110" i="2"/>
  <c r="F113" i="2" s="1"/>
  <c r="H108" i="2"/>
  <c r="E108" i="2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G108" i="2" s="1"/>
  <c r="I108" i="2" s="1"/>
  <c r="H100" i="2"/>
  <c r="E100" i="2"/>
  <c r="G99" i="2"/>
  <c r="F99" i="2"/>
  <c r="G98" i="2"/>
  <c r="F98" i="2"/>
  <c r="G97" i="2"/>
  <c r="F97" i="2"/>
  <c r="F96" i="2"/>
  <c r="F100" i="2" s="1"/>
  <c r="H94" i="2"/>
  <c r="E94" i="2"/>
  <c r="F93" i="2"/>
  <c r="F94" i="2" s="1"/>
  <c r="G94" i="2" s="1"/>
  <c r="I94" i="2" s="1"/>
  <c r="H91" i="2"/>
  <c r="E91" i="2"/>
  <c r="G90" i="2"/>
  <c r="F90" i="2"/>
  <c r="F89" i="2"/>
  <c r="F91" i="2" s="1"/>
  <c r="G88" i="2"/>
  <c r="F88" i="2"/>
  <c r="H86" i="2"/>
  <c r="F85" i="2"/>
  <c r="G85" i="2" s="1"/>
  <c r="F84" i="2"/>
  <c r="G84" i="2" s="1"/>
  <c r="F83" i="2"/>
  <c r="G83" i="2" s="1"/>
  <c r="E83" i="2"/>
  <c r="E86" i="2" s="1"/>
  <c r="F82" i="2"/>
  <c r="F86" i="2" s="1"/>
  <c r="I80" i="2"/>
  <c r="H80" i="2"/>
  <c r="G80" i="2"/>
  <c r="F80" i="2"/>
  <c r="E80" i="2"/>
  <c r="G79" i="2"/>
  <c r="F79" i="2"/>
  <c r="H77" i="2"/>
  <c r="E77" i="2"/>
  <c r="F76" i="2"/>
  <c r="G76" i="2" s="1"/>
  <c r="F75" i="2"/>
  <c r="F77" i="2" s="1"/>
  <c r="G74" i="2"/>
  <c r="F74" i="2"/>
  <c r="G73" i="2"/>
  <c r="F73" i="2"/>
  <c r="F72" i="2"/>
  <c r="G72" i="2" s="1"/>
  <c r="H70" i="2"/>
  <c r="E70" i="2"/>
  <c r="G69" i="2"/>
  <c r="F69" i="2"/>
  <c r="G68" i="2"/>
  <c r="F68" i="2"/>
  <c r="F67" i="2"/>
  <c r="G67" i="2" s="1"/>
  <c r="F66" i="2"/>
  <c r="G66" i="2" s="1"/>
  <c r="G65" i="2"/>
  <c r="F65" i="2"/>
  <c r="E65" i="2"/>
  <c r="F64" i="2"/>
  <c r="F70" i="2" s="1"/>
  <c r="H62" i="2"/>
  <c r="E62" i="2"/>
  <c r="G61" i="2"/>
  <c r="F61" i="2"/>
  <c r="F60" i="2"/>
  <c r="G60" i="2" s="1"/>
  <c r="F59" i="2"/>
  <c r="G59" i="2" s="1"/>
  <c r="F58" i="2"/>
  <c r="G58" i="2" s="1"/>
  <c r="G57" i="2"/>
  <c r="F57" i="2"/>
  <c r="F56" i="2"/>
  <c r="G56" i="2" s="1"/>
  <c r="F55" i="2"/>
  <c r="G55" i="2" s="1"/>
  <c r="F54" i="2"/>
  <c r="G54" i="2" s="1"/>
  <c r="G53" i="2"/>
  <c r="F53" i="2"/>
  <c r="F52" i="2"/>
  <c r="F62" i="2" s="1"/>
  <c r="H50" i="2"/>
  <c r="E50" i="2"/>
  <c r="F49" i="2"/>
  <c r="G49" i="2" s="1"/>
  <c r="G48" i="2"/>
  <c r="F48" i="2"/>
  <c r="G47" i="2"/>
  <c r="F47" i="2"/>
  <c r="F46" i="2"/>
  <c r="G46" i="2" s="1"/>
  <c r="F45" i="2"/>
  <c r="G45" i="2" s="1"/>
  <c r="G44" i="2"/>
  <c r="F44" i="2"/>
  <c r="G43" i="2"/>
  <c r="F43" i="2"/>
  <c r="F42" i="2"/>
  <c r="G42" i="2" s="1"/>
  <c r="F41" i="2"/>
  <c r="F50" i="2" s="1"/>
  <c r="H39" i="2"/>
  <c r="E39" i="2"/>
  <c r="G38" i="2"/>
  <c r="F38" i="2"/>
  <c r="F37" i="2"/>
  <c r="G37" i="2" s="1"/>
  <c r="G36" i="2"/>
  <c r="F36" i="2"/>
  <c r="F35" i="2"/>
  <c r="G35" i="2" s="1"/>
  <c r="G34" i="2"/>
  <c r="F34" i="2"/>
  <c r="F33" i="2"/>
  <c r="G33" i="2" s="1"/>
  <c r="G32" i="2"/>
  <c r="F32" i="2"/>
  <c r="F39" i="2" s="1"/>
  <c r="E30" i="2"/>
  <c r="E114" i="2" s="1"/>
  <c r="G29" i="2"/>
  <c r="F29" i="2"/>
  <c r="G28" i="2"/>
  <c r="F28" i="2"/>
  <c r="F27" i="2"/>
  <c r="G27" i="2" s="1"/>
  <c r="F26" i="2"/>
  <c r="G26" i="2" s="1"/>
  <c r="G25" i="2"/>
  <c r="F25" i="2"/>
  <c r="G24" i="2"/>
  <c r="F24" i="2"/>
  <c r="F23" i="2"/>
  <c r="G23" i="2" s="1"/>
  <c r="H22" i="2"/>
  <c r="H30" i="2" s="1"/>
  <c r="I30" i="2" s="1"/>
  <c r="G22" i="2"/>
  <c r="G21" i="2"/>
  <c r="F21" i="2"/>
  <c r="F20" i="2"/>
  <c r="G20" i="2" s="1"/>
  <c r="F19" i="2"/>
  <c r="G19" i="2" s="1"/>
  <c r="G18" i="2"/>
  <c r="F17" i="2"/>
  <c r="G17" i="2" s="1"/>
  <c r="G16" i="2"/>
  <c r="F16" i="2"/>
  <c r="F15" i="2"/>
  <c r="G15" i="2" s="1"/>
  <c r="H13" i="2"/>
  <c r="H114" i="2" s="1"/>
  <c r="F13" i="2"/>
  <c r="I12" i="2"/>
  <c r="G12" i="2"/>
  <c r="F12" i="2"/>
  <c r="G11" i="2"/>
  <c r="I11" i="2" s="1"/>
  <c r="F11" i="2"/>
  <c r="G10" i="2"/>
  <c r="I10" i="2" s="1"/>
  <c r="F10" i="2"/>
  <c r="F9" i="2"/>
  <c r="G9" i="2" s="1"/>
  <c r="I9" i="2" s="1"/>
  <c r="F8" i="2"/>
  <c r="G8" i="2" s="1"/>
  <c r="I8" i="2" s="1"/>
  <c r="F7" i="2"/>
  <c r="G7" i="2" s="1"/>
  <c r="I7" i="2" s="1"/>
  <c r="F6" i="2"/>
  <c r="G6" i="2" s="1"/>
  <c r="E41" i="1"/>
  <c r="D41" i="1"/>
  <c r="C41" i="1"/>
  <c r="A41" i="1"/>
  <c r="E40" i="1"/>
  <c r="D40" i="1"/>
  <c r="C40" i="1"/>
  <c r="A40" i="1"/>
  <c r="F39" i="1"/>
  <c r="E39" i="1"/>
  <c r="D39" i="1"/>
  <c r="C39" i="1"/>
  <c r="A39" i="1"/>
  <c r="E38" i="1"/>
  <c r="D38" i="1"/>
  <c r="C38" i="1"/>
  <c r="A38" i="1"/>
  <c r="E37" i="1"/>
  <c r="D37" i="1"/>
  <c r="C37" i="1"/>
  <c r="A37" i="1"/>
  <c r="E36" i="1"/>
  <c r="D36" i="1"/>
  <c r="C36" i="1"/>
  <c r="A36" i="1"/>
  <c r="E35" i="1"/>
  <c r="D35" i="1"/>
  <c r="C35" i="1"/>
  <c r="A35" i="1"/>
  <c r="E34" i="1"/>
  <c r="D34" i="1"/>
  <c r="C34" i="1"/>
  <c r="A34" i="1"/>
  <c r="E33" i="1"/>
  <c r="D33" i="1"/>
  <c r="C33" i="1"/>
  <c r="A33" i="1"/>
  <c r="E32" i="1"/>
  <c r="D32" i="1"/>
  <c r="C32" i="1"/>
  <c r="A32" i="1"/>
  <c r="F31" i="1"/>
  <c r="E31" i="1"/>
  <c r="D31" i="1"/>
  <c r="C31" i="1"/>
  <c r="A31" i="1"/>
  <c r="E30" i="1"/>
  <c r="D30" i="1"/>
  <c r="C30" i="1"/>
  <c r="A30" i="1"/>
  <c r="E29" i="1"/>
  <c r="D29" i="1"/>
  <c r="C29" i="1"/>
  <c r="A29" i="1"/>
  <c r="E28" i="1"/>
  <c r="D28" i="1"/>
  <c r="C28" i="1"/>
  <c r="A28" i="1"/>
  <c r="E27" i="1"/>
  <c r="D27" i="1"/>
  <c r="C27" i="1"/>
  <c r="A27" i="1"/>
  <c r="D26" i="1"/>
  <c r="C26" i="1"/>
  <c r="B26" i="1"/>
  <c r="A26" i="1"/>
  <c r="H22" i="1"/>
  <c r="F19" i="1"/>
  <c r="G19" i="1" s="1"/>
  <c r="H19" i="1" s="1"/>
  <c r="E19" i="1"/>
  <c r="F18" i="1"/>
  <c r="F40" i="1" s="1"/>
  <c r="F17" i="1"/>
  <c r="G17" i="1" s="1"/>
  <c r="H17" i="1" s="1"/>
  <c r="F16" i="1"/>
  <c r="G16" i="1" s="1"/>
  <c r="H16" i="1" s="1"/>
  <c r="G15" i="1"/>
  <c r="H15" i="1" s="1"/>
  <c r="F15" i="1"/>
  <c r="F37" i="1" s="1"/>
  <c r="F14" i="1"/>
  <c r="G14" i="1" s="1"/>
  <c r="H14" i="1" s="1"/>
  <c r="G13" i="1"/>
  <c r="H13" i="1" s="1"/>
  <c r="F13" i="1"/>
  <c r="F35" i="1" s="1"/>
  <c r="G12" i="1"/>
  <c r="H12" i="1" s="1"/>
  <c r="F12" i="1"/>
  <c r="F34" i="1" s="1"/>
  <c r="G11" i="1"/>
  <c r="H11" i="1" s="1"/>
  <c r="F11" i="1"/>
  <c r="F33" i="1" s="1"/>
  <c r="F10" i="1"/>
  <c r="F32" i="1" s="1"/>
  <c r="F9" i="1"/>
  <c r="G9" i="1" s="1"/>
  <c r="H9" i="1" s="1"/>
  <c r="F8" i="1"/>
  <c r="G8" i="1" s="1"/>
  <c r="H8" i="1" s="1"/>
  <c r="F7" i="1"/>
  <c r="F29" i="1" s="1"/>
  <c r="F6" i="1"/>
  <c r="G6" i="1" s="1"/>
  <c r="H6" i="1" s="1"/>
  <c r="G5" i="1"/>
  <c r="H5" i="1" s="1"/>
  <c r="F5" i="1"/>
  <c r="F27" i="1" s="1"/>
  <c r="G30" i="2" l="1"/>
  <c r="G39" i="2"/>
  <c r="I39" i="2" s="1"/>
  <c r="G113" i="2"/>
  <c r="F114" i="2"/>
  <c r="I6" i="2"/>
  <c r="G13" i="2"/>
  <c r="I100" i="2"/>
  <c r="I113" i="2"/>
  <c r="F28" i="1"/>
  <c r="F36" i="1"/>
  <c r="F41" i="1"/>
  <c r="F30" i="2"/>
  <c r="G41" i="2"/>
  <c r="G50" i="2" s="1"/>
  <c r="I50" i="2" s="1"/>
  <c r="G64" i="2"/>
  <c r="G70" i="2" s="1"/>
  <c r="I70" i="2" s="1"/>
  <c r="G75" i="2"/>
  <c r="G77" i="2" s="1"/>
  <c r="I77" i="2" s="1"/>
  <c r="G82" i="2"/>
  <c r="G86" i="2" s="1"/>
  <c r="I86" i="2" s="1"/>
  <c r="G89" i="2"/>
  <c r="G91" i="2" s="1"/>
  <c r="I91" i="2" s="1"/>
  <c r="G96" i="2"/>
  <c r="G100" i="2" s="1"/>
  <c r="F30" i="1"/>
  <c r="F38" i="1"/>
  <c r="G93" i="2"/>
  <c r="F108" i="2"/>
  <c r="G52" i="2"/>
  <c r="G62" i="2" s="1"/>
  <c r="I62" i="2" s="1"/>
  <c r="G7" i="1"/>
  <c r="H7" i="1" s="1"/>
  <c r="G10" i="1"/>
  <c r="H10" i="1" s="1"/>
  <c r="G18" i="1"/>
  <c r="H18" i="1" s="1"/>
  <c r="G114" i="2" l="1"/>
  <c r="I114" i="2" s="1"/>
  <c r="I13" i="2"/>
</calcChain>
</file>

<file path=xl/comments1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1"/>
            <color theme="1"/>
            <rFont val="Tahoma"/>
            <family val="2"/>
            <scheme val="minor"/>
          </rPr>
          <t>======
ID#AAAANwPrZ8M
plans    (2021-08-23 12:53:39)
นักศึกษาแรกเข้าปีการศึกษา 2560 คณะครุศาสตร์+วิทยาลัยสถาปัตยกรรมศาสตร์ และนักศึกษาแรกเข้าปีการศึกษา 2561 หน่วยงานจัดการศึกษาอื่นๆ</t>
        </r>
      </text>
    </comment>
  </commentList>
</comments>
</file>

<file path=xl/sharedStrings.xml><?xml version="1.0" encoding="utf-8"?>
<sst xmlns="http://schemas.openxmlformats.org/spreadsheetml/2006/main" count="427" uniqueCount="231">
  <si>
    <t>ตัวชี้วัด</t>
  </si>
  <si>
    <t>1.1.4 จำนวนผู้เรียนสาขาวิชาที่เป็นความต้องการของประเทศ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</si>
  <si>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</si>
  <si>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</si>
  <si>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</si>
  <si>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</si>
  <si>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</si>
  <si>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</si>
  <si>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</si>
  <si>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</si>
  <si>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</si>
  <si>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</si>
  <si>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</si>
  <si>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</si>
  <si>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นักศึกษาที่จะสำเร็จการศึกษา 
ปีการศึกษา 2564</t>
  </si>
  <si>
    <t>ร้อยละการบรรลุเป้าหมายตัวชี้วัด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</si>
  <si>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</si>
  <si>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</si>
  <si>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</si>
  <si>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</si>
  <si>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</si>
  <si>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</si>
  <si>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</si>
  <si>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</si>
  <si>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</si>
  <si>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</si>
  <si>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</si>
  <si>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</si>
  <si>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</si>
  <si>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</si>
  <si>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</si>
  <si>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</si>
  <si>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</si>
  <si>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</si>
  <si>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ระดับหน่วยงาน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</si>
  <si>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</si>
  <si>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</si>
  <si>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</si>
  <si>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</si>
  <si>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</si>
  <si>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</si>
  <si>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</si>
  <si>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</si>
  <si>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</si>
  <si>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</si>
  <si>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1.1.4 (S) ระดับความสำเร็จของการดำเนินการตามแนวทางตามตัวชี้วัด จำนวนผู้เรียนสาขาวิชาที่เป็นความต้องการของประเทศ</t>
  </si>
  <si>
    <t>คะแนน</t>
  </si>
  <si>
    <t>ห้ามลบ สรุปกราฟ</t>
  </si>
  <si>
    <t>จำนวนนักศึกษาที่จะสำเร็จการศึกษา 
ปีการศึกษา 2564</t>
  </si>
  <si>
    <t>ร้อยละการบรรลุเป้าหมาย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</si>
  <si>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</si>
  <si>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</si>
  <si>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</si>
  <si>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</si>
  <si>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</si>
  <si>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</si>
  <si>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</si>
  <si>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</si>
  <si>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</si>
  <si>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</si>
  <si>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</si>
  <si>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</si>
  <si>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</si>
  <si>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</si>
  <si>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</si>
  <si>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</si>
  <si>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</si>
  <si>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</si>
  <si>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จำนวนนักศึกษาแรกเข้าทั้งหมด</t>
  </si>
  <si>
    <t>จำนวนนักศึกษาที่คาดว่าจะสำเร็จการศึกษา(ไม่นับพ้นสภาพ ลาออก เกรดเฉลี่ยไม่ถึง)</t>
  </si>
  <si>
    <t>เป้าหมายนักศึกษาที่คาดว่าจะสำเร็จการศึกษา</t>
  </si>
  <si>
    <t>จำนวนนักศึกษาที่สำเร็จการศึกษาจริง</t>
  </si>
  <si>
    <t>คิดเป็นร้อยละ</t>
  </si>
  <si>
    <t>กลุ่มอุตสาหกรรม</t>
  </si>
  <si>
    <t>1. คณะครุศาสตร์</t>
  </si>
  <si>
    <t>ครุศาสตรบัณฑิต 4 ปี</t>
  </si>
  <si>
    <t>ภาษาไทย</t>
  </si>
  <si>
    <t>หลักสูตรปรับปรุง พ.ศ. 2560</t>
  </si>
  <si>
    <t>อุตสาหกรรมพัฒนาบุคลากรและการศึกษา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</si>
  <si>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</si>
  <si>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</si>
  <si>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</si>
  <si>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</si>
  <si>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</t>
  </si>
  <si>
    <t>สังคมศึกษา</t>
  </si>
  <si>
    <t>หลักสูตรปรับปรุง พ.ศ. 2559</t>
  </si>
  <si>
    <t xml:space="preserve">รวม </t>
  </si>
  <si>
    <t>2. คณะวิทยาศาสตร์และเทคโนโลยี</t>
  </si>
  <si>
    <t>วิทยาศาสตรบัณฑิต</t>
  </si>
  <si>
    <t>วิทยาศาสตร์สิ่งแวดล้อม</t>
  </si>
  <si>
    <t>หลักสูตรปรับปรุง พ.ศ.2559</t>
  </si>
  <si>
    <t>อุตสาหกรรมดิจิทัล</t>
  </si>
  <si>
    <t>จุลชีววิทยาอุตสาหกรรม</t>
  </si>
  <si>
    <t>หลักสูตรปรับปรุง พ.ศ.2558</t>
  </si>
  <si>
    <t>อุตสาหกรรมอาหารสำหรับอนาคต</t>
  </si>
  <si>
    <t>เคมี</t>
  </si>
  <si>
    <t>อุตสาหกรรมด้านพลังงาน วัสดุ เชื้อเพลิงชีวภาพและเคมีชีวภาพ</t>
  </si>
  <si>
    <t>คณิตศาสตร์สารสนเทศ</t>
  </si>
  <si>
    <t>เทคโนโลยีชีวภาพ</t>
  </si>
  <si>
    <t>สถิติประยุกต์</t>
  </si>
  <si>
    <t xml:space="preserve">อุตสาหกรรมดิจิทัล </t>
  </si>
  <si>
    <t>ชีววิทยา</t>
  </si>
  <si>
    <t>ฟิสิกส์ประยุกต์</t>
  </si>
  <si>
    <t xml:space="preserve">วิทยาการคอมพิวเตอร์ </t>
  </si>
  <si>
    <t>สารสนเทศศาสตร์</t>
  </si>
  <si>
    <t>หลักสูตรปรับปรุง พ.ศ.2560</t>
  </si>
  <si>
    <t>สาขาที่ตอบโจทย์ความต้องการของประเทศในอนาคต</t>
  </si>
  <si>
    <t xml:space="preserve">เทคโนโลยีสารสนเทศ  </t>
  </si>
  <si>
    <t xml:space="preserve">วิทยาศาสตร์และเทคโนโลยีการอาหาร </t>
  </si>
  <si>
    <t>คหกรรมศาสตร์</t>
  </si>
  <si>
    <t>นิติวิทยาศาสตร์</t>
  </si>
  <si>
    <t>หลักสูตรใหม่ พ.ศ. 2559</t>
  </si>
  <si>
    <t>วิทยาศาสตร์การกีฬาและสุขภาพ</t>
  </si>
  <si>
    <t xml:space="preserve">อุตสาหกรรมการแพทย์ครบวงจร </t>
  </si>
  <si>
    <t>รวม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</si>
  <si>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</si>
  <si>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</si>
  <si>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</si>
  <si>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สาขาด้านมนุษศาสตร์และสังคมศาสตร์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</si>
  <si>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</si>
  <si>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</si>
  <si>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</si>
  <si>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</si>
  <si>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</si>
  <si>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</si>
  <si>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</si>
  <si>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</si>
  <si>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</si>
  <si>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</si>
  <si>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</si>
  <si>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</si>
  <si>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</si>
  <si>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</si>
  <si>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มาจากนวัตกรรม 31</t>
  </si>
  <si>
    <t>การเงินการธนาคาร</t>
  </si>
  <si>
    <t>ธุรกิจระหว่างประเทศ</t>
  </si>
  <si>
    <t>การบริหารทรัพยากรมนุษย์</t>
  </si>
  <si>
    <t>การประกอบการธุรกิจ</t>
  </si>
  <si>
    <t>การจัดการธุรกิจบริการ</t>
  </si>
  <si>
    <t>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</si>
  <si>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</si>
  <si>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</si>
  <si>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2558</t>
  </si>
  <si>
    <t>การจัดการอุตสาหกรรม</t>
  </si>
  <si>
    <t>เทคโนโลยีคอมพิวเตอร์เพื่องานสถาปัตยกรรม</t>
  </si>
  <si>
    <t>การบริหารทรัพยากรอาคาร</t>
  </si>
  <si>
    <t>อุตสาหกรรมการพิมพ์</t>
  </si>
  <si>
    <t>วิศวกรรมศาสตรบัณฑิต</t>
  </si>
  <si>
    <t>วิศวกรรมคอมพิวเตอร์</t>
  </si>
  <si>
    <t>อุตสาหกรรมหุ่นยนต์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</si>
  <si>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</si>
  <si>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</si>
  <si>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</si>
  <si>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>อุตสาหกรรมการบินและโลจิสติกส์</t>
  </si>
  <si>
    <t xml:space="preserve">การออกแบบผลิตภัณฑ์อุตสาหกรรม </t>
  </si>
  <si>
    <t xml:space="preserve">อุตสาหกรรมอิเล็กทรอนิกส์อัจฉริยะ 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</si>
  <si>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</si>
  <si>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</si>
  <si>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</si>
  <si>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</si>
  <si>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</si>
  <si>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</si>
  <si>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</si>
  <si>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</si>
  <si>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</si>
  <si>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บริหารธุรกิจบัณฑิต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</si>
  <si>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</si>
  <si>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</si>
  <si>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</si>
  <si>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นวัตกรรมการค้าระหว่างประเทศ(หลักสูตรนานาชาติ)</t>
  </si>
  <si>
    <t>หลักสูตรใหม่ พ.ศ. 2561</t>
  </si>
  <si>
    <t>คอมพิวเตอร์ธุรกิจ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</si>
  <si>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</si>
  <si>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</si>
  <si>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</si>
  <si>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</si>
  <si>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</si>
  <si>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</si>
  <si>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</si>
  <si>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วิทยาศาสตร์สุขภาพ</t>
  </si>
  <si>
    <t>เลขานุการการแพทย์และสาธารณสุข</t>
  </si>
  <si>
    <t>การแพทย์แผนไทยประยุกต์บัณฑิต</t>
  </si>
  <si>
    <t>การแพทย์แผนไทยประยุกต์</t>
  </si>
  <si>
    <t>10. วิทยาลัยโลจิสติกส์และซัพพลายเชน</t>
  </si>
  <si>
    <t xml:space="preserve">การจัดการโลจิสติกส์ </t>
  </si>
  <si>
    <t>การจัดการซัพพลายเชนธุรกิจ</t>
  </si>
  <si>
    <t>การจัดการโลจิสติกส์ (หลักสูตรนานาชาติ)</t>
  </si>
  <si>
    <t>11. วิทยาลัยสถาปัตยกรรมศาสตร์</t>
  </si>
  <si>
    <t>สถาปัตยกรรมบัณฑิต</t>
  </si>
  <si>
    <t>สถาปัตยกรรม</t>
  </si>
  <si>
    <t>หลักสูตรใหม่ พ.ศ.2557</t>
  </si>
  <si>
    <t>12. วิทยาลัยการเมืองและการปกครอง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</si>
  <si>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</si>
  <si>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</si>
  <si>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</si>
  <si>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</si>
  <si>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</si>
  <si>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รัฐศาสตรบัณฑิต</t>
  </si>
  <si>
    <t>รัฐศาสตร์</t>
  </si>
  <si>
    <t>หลักสูตรปรับปรุง พ.ศ.2561</t>
  </si>
  <si>
    <t>มาจากนวัตกรรม 201</t>
  </si>
  <si>
    <t>13. วิทยาลัยการจัดการอุตสาหกรรมบริการ</t>
  </si>
  <si>
    <t>การจัดการโรงแรมและธุรกิจที่พัก</t>
  </si>
  <si>
    <t xml:space="preserve">อุตสาหกรรมการท่องเที่ยวกลุ่มรายได้ดีและท่องเที่ยวเชิงสุขภาพ </t>
  </si>
  <si>
    <t xml:space="preserve">การจัดการอุตสาหกรรมท่องเที่ยวและบริการ </t>
  </si>
  <si>
    <t>ธุรกิจการบิน (หลักสูตรนานาชาติ)</t>
  </si>
  <si>
    <t>การจัดการท่องเที่ยว (หลักสูตรนานาชาติ)</t>
  </si>
  <si>
    <t>การโรงแรม</t>
  </si>
  <si>
    <t>บริหารธุรกิจระหว่างประเทศ (หลักสูตรนานาชาติ)</t>
  </si>
  <si>
    <t>14. วิทยาลัยนิเทศศาสตร์</t>
  </si>
  <si>
    <t>นิเทศศาสตรบัณฑิต</t>
  </si>
  <si>
    <t>ศิลปบัณฑิต</t>
  </si>
  <si>
    <t>ศิลปภาพยนตร์</t>
  </si>
  <si>
    <t>หลักสูตรใหม่ พ.ศ.2555</t>
  </si>
  <si>
    <t>การสร้างสรรค์และสื่อดิจิทัล</t>
  </si>
  <si>
    <t>หลักสูตรใหม่ พ.ศ.2556</t>
  </si>
  <si>
    <t>รวมทั้งหมด</t>
  </si>
  <si>
    <t xml:space="preserve">หมายเหตุ ใช้จำนวนนักศึกษาที่คาดว่าจะสำเร็จการศึกษา 70% -ของนักศึกษาแรกเข้าทั้งหมดเป็นตัวหารเพื่อหาร้อยละ </t>
  </si>
  <si>
    <t>จำนวนสาขา</t>
  </si>
  <si>
    <t>จำนวนนักศึกษา (คน)</t>
  </si>
  <si>
    <t>อุตสาหกรรมเชื่อเพลิงชีวภาพและเคมีชีวภาพ</t>
  </si>
  <si>
    <t>อุตสาหกรรมการบินและโลจิสดิกส์</t>
  </si>
  <si>
    <t>อุตสาหกรรมการแพทย์ครบวงจร</t>
  </si>
  <si>
    <t>อุตสาหกรรมยานยนต์แห่งอนาคต</t>
  </si>
  <si>
    <t>อุตสาหกรรมอิเล็กทรอนิกส์อัจฉริยะ</t>
  </si>
  <si>
    <t>อุตสาหกรรมการท่องเที่ยวกลุ่มผู้มีรายได้สูงและการท่องเที่ยวเชิงสุขภาพ</t>
  </si>
  <si>
    <t>อุตสาหกรรมการเกษตรและเทคโนโลยี</t>
  </si>
  <si>
    <t>อุตสาหกรรมอาหารแห่งอนาคต</t>
  </si>
  <si>
    <t>อุตสาหกรรมป้องกันประเทศ</t>
  </si>
  <si>
    <t>สาขาวิชาที่มุ่งเน้นการขับเคลื่อนเศรษฐกิจ</t>
  </si>
  <si>
    <t>สาขาด้านมนุษยศาสตร์และสังคมศาสตร์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</si>
</sst>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theme="0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00B0F0"/>
        <bgColor rgb="FF00B0F0"/>
      </patternFill>
    </fill>
    <fill>
      <patternFill patternType="solid">
        <fgColor rgb="FFB4C6E7"/>
        <bgColor rgb="FFB4C6E7"/>
      </patternFill>
    </fill>
    <fill>
      <patternFill patternType="solid">
        <fgColor theme="7"/>
        <bgColor theme="7"/>
      </patternFill>
    </fill>
    <fill>
      <patternFill patternType="solid">
        <fgColor rgb="FFF088C6"/>
        <bgColor rgb="FFF088C6"/>
      </patternFill>
    </fill>
    <fill>
      <patternFill patternType="solid">
        <fgColor rgb="FFF4B083"/>
        <bgColor rgb="FFF4B083"/>
      </patternFill>
    </fill>
    <fill>
      <patternFill patternType="solid">
        <fgColor rgb="FFFFC000"/>
        <bgColor rgb="FFFFC000"/>
      </patternFill>
    </fill>
    <fill>
      <patternFill patternType="solid">
        <fgColor rgb="FFC5E0B3"/>
        <bgColor rgb="FFC5E0B3"/>
      </patternFill>
    </fill>
    <fill>
      <patternFill patternType="solid">
        <fgColor rgb="FF2E75B5"/>
        <bgColor rgb="FF2E75B5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0" fontId="19" fillId="0" borderId="0"/>
  </cellStyleXfs>
  <cellXfs count="2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2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" fillId="0" borderId="12" xfId="0" applyFont="1" applyBorder="1"/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/>
    </xf>
    <xf numFmtId="2" fontId="5" fillId="4" borderId="12" xfId="0" applyNumberFormat="1" applyFont="1" applyFill="1" applyBorder="1" applyAlignment="1">
      <alignment horizontal="center" vertical="top" wrapText="1"/>
    </xf>
    <xf numFmtId="188" fontId="5" fillId="4" borderId="11" xfId="0" applyNumberFormat="1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2" fontId="5" fillId="4" borderId="14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/>
    </xf>
    <xf numFmtId="1" fontId="5" fillId="4" borderId="0" xfId="0" applyNumberFormat="1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187" fontId="9" fillId="4" borderId="15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2" fontId="5" fillId="4" borderId="16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top" wrapText="1"/>
    </xf>
    <xf numFmtId="187" fontId="12" fillId="3" borderId="10" xfId="0" applyNumberFormat="1" applyFont="1" applyFill="1" applyBorder="1" applyAlignment="1">
      <alignment horizontal="center" vertical="top" wrapText="1"/>
    </xf>
    <xf numFmtId="1" fontId="12" fillId="3" borderId="11" xfId="0" applyNumberFormat="1" applyFont="1" applyFill="1" applyBorder="1" applyAlignment="1">
      <alignment horizontal="center" vertical="top" wrapText="1"/>
    </xf>
    <xf numFmtId="2" fontId="8" fillId="3" borderId="11" xfId="0" applyNumberFormat="1" applyFont="1" applyFill="1" applyBorder="1" applyAlignment="1">
      <alignment horizontal="center" vertical="top" wrapText="1"/>
    </xf>
    <xf numFmtId="188" fontId="8" fillId="3" borderId="11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1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5" fillId="8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2" fillId="0" borderId="4" xfId="0" applyFont="1" applyBorder="1"/>
    <xf numFmtId="0" fontId="5" fillId="4" borderId="10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6" fillId="10" borderId="0" xfId="0" applyFont="1" applyFill="1" applyBorder="1"/>
    <xf numFmtId="0" fontId="17" fillId="10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/>
    </xf>
    <xf numFmtId="0" fontId="5" fillId="4" borderId="0" xfId="1" applyFont="1" applyFill="1" applyAlignment="1">
      <alignment horizontal="left" vertical="top"/>
    </xf>
    <xf numFmtId="0" fontId="1" fillId="5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vertical="top"/>
    </xf>
    <xf numFmtId="0" fontId="1" fillId="5" borderId="12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/>
    </xf>
    <xf numFmtId="0" fontId="20" fillId="4" borderId="5" xfId="0" applyFont="1" applyFill="1" applyBorder="1" applyAlignment="1">
      <alignment vertical="top"/>
    </xf>
    <xf numFmtId="0" fontId="5" fillId="4" borderId="5" xfId="0" applyFont="1" applyFill="1" applyBorder="1" applyAlignment="1">
      <alignment horizontal="left" vertical="top"/>
    </xf>
    <xf numFmtId="0" fontId="20" fillId="4" borderId="5" xfId="0" applyFont="1" applyFill="1" applyBorder="1" applyAlignment="1">
      <alignment horizontal="right" vertical="top"/>
    </xf>
    <xf numFmtId="0" fontId="14" fillId="4" borderId="5" xfId="0" applyFont="1" applyFill="1" applyBorder="1" applyAlignment="1">
      <alignment horizontal="left" vertical="top"/>
    </xf>
    <xf numFmtId="0" fontId="14" fillId="4" borderId="0" xfId="1" applyFont="1" applyFill="1" applyAlignment="1">
      <alignment horizontal="left" vertical="top"/>
    </xf>
    <xf numFmtId="0" fontId="8" fillId="4" borderId="10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3" fontId="22" fillId="11" borderId="7" xfId="0" applyNumberFormat="1" applyFont="1" applyFill="1" applyBorder="1" applyAlignment="1">
      <alignment horizontal="center" vertical="center" wrapText="1"/>
    </xf>
    <xf numFmtId="0" fontId="5" fillId="12" borderId="16" xfId="1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 horizontal="left" vertical="center"/>
    </xf>
    <xf numFmtId="0" fontId="2" fillId="0" borderId="19" xfId="0" applyFont="1" applyBorder="1"/>
    <xf numFmtId="0" fontId="8" fillId="13" borderId="6" xfId="0" applyFont="1" applyFill="1" applyBorder="1" applyAlignment="1">
      <alignment vertical="center"/>
    </xf>
    <xf numFmtId="0" fontId="5" fillId="13" borderId="17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4" borderId="0" xfId="1" applyFont="1" applyFill="1"/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2" fontId="5" fillId="14" borderId="2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8" fillId="15" borderId="24" xfId="0" applyFont="1" applyFill="1" applyBorder="1" applyAlignment="1">
      <alignment vertical="center"/>
    </xf>
    <xf numFmtId="0" fontId="8" fillId="15" borderId="25" xfId="0" applyFont="1" applyFill="1" applyBorder="1" applyAlignment="1">
      <alignment vertical="center"/>
    </xf>
    <xf numFmtId="0" fontId="8" fillId="15" borderId="21" xfId="0" applyFont="1" applyFill="1" applyBorder="1" applyAlignment="1">
      <alignment horizontal="center"/>
    </xf>
    <xf numFmtId="1" fontId="8" fillId="15" borderId="21" xfId="0" applyNumberFormat="1" applyFont="1" applyFill="1" applyBorder="1" applyAlignment="1">
      <alignment horizontal="center"/>
    </xf>
    <xf numFmtId="2" fontId="8" fillId="16" borderId="21" xfId="0" applyNumberFormat="1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left" vertical="center"/>
    </xf>
    <xf numFmtId="0" fontId="2" fillId="0" borderId="24" xfId="0" applyFont="1" applyBorder="1"/>
    <xf numFmtId="0" fontId="5" fillId="13" borderId="25" xfId="0" applyFont="1" applyFill="1" applyBorder="1" applyAlignment="1">
      <alignment horizontal="left" vertical="center"/>
    </xf>
    <xf numFmtId="0" fontId="5" fillId="13" borderId="2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14" borderId="21" xfId="0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1" fontId="5" fillId="0" borderId="28" xfId="0" applyNumberFormat="1" applyFont="1" applyBorder="1" applyAlignment="1">
      <alignment horizontal="center"/>
    </xf>
    <xf numFmtId="0" fontId="8" fillId="17" borderId="24" xfId="0" applyFont="1" applyFill="1" applyBorder="1" applyAlignment="1">
      <alignment vertical="center"/>
    </xf>
    <xf numFmtId="0" fontId="8" fillId="17" borderId="25" xfId="0" applyFont="1" applyFill="1" applyBorder="1" applyAlignment="1">
      <alignment vertical="center"/>
    </xf>
    <xf numFmtId="0" fontId="8" fillId="17" borderId="21" xfId="0" applyFont="1" applyFill="1" applyBorder="1" applyAlignment="1">
      <alignment horizontal="center"/>
    </xf>
    <xf numFmtId="1" fontId="8" fillId="17" borderId="21" xfId="0" applyNumberFormat="1" applyFont="1" applyFill="1" applyBorder="1" applyAlignment="1">
      <alignment horizontal="center"/>
    </xf>
    <xf numFmtId="0" fontId="5" fillId="13" borderId="25" xfId="0" applyFont="1" applyFill="1" applyBorder="1" applyAlignment="1">
      <alignment vertical="center"/>
    </xf>
    <xf numFmtId="1" fontId="5" fillId="4" borderId="23" xfId="0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vertical="center"/>
    </xf>
    <xf numFmtId="1" fontId="8" fillId="0" borderId="21" xfId="0" applyNumberFormat="1" applyFont="1" applyBorder="1" applyAlignment="1">
      <alignment horizontal="center"/>
    </xf>
    <xf numFmtId="0" fontId="8" fillId="18" borderId="24" xfId="0" applyFont="1" applyFill="1" applyBorder="1" applyAlignment="1">
      <alignment horizontal="left" vertical="center" wrapText="1"/>
    </xf>
    <xf numFmtId="49" fontId="8" fillId="18" borderId="24" xfId="0" applyNumberFormat="1" applyFont="1" applyFill="1" applyBorder="1" applyAlignment="1">
      <alignment vertical="center" wrapText="1"/>
    </xf>
    <xf numFmtId="0" fontId="5" fillId="18" borderId="25" xfId="0" applyFont="1" applyFill="1" applyBorder="1" applyAlignment="1">
      <alignment vertical="center" wrapText="1"/>
    </xf>
    <xf numFmtId="0" fontId="8" fillId="18" borderId="26" xfId="0" applyFont="1" applyFill="1" applyBorder="1" applyAlignment="1">
      <alignment horizontal="center"/>
    </xf>
    <xf numFmtId="1" fontId="8" fillId="18" borderId="26" xfId="0" applyNumberFormat="1" applyFont="1" applyFill="1" applyBorder="1" applyAlignment="1">
      <alignment horizontal="center"/>
    </xf>
    <xf numFmtId="0" fontId="5" fillId="13" borderId="25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/>
    </xf>
    <xf numFmtId="0" fontId="8" fillId="19" borderId="24" xfId="0" applyFont="1" applyFill="1" applyBorder="1" applyAlignment="1">
      <alignment vertical="center"/>
    </xf>
    <xf numFmtId="0" fontId="8" fillId="19" borderId="25" xfId="0" applyFont="1" applyFill="1" applyBorder="1" applyAlignment="1">
      <alignment vertical="center"/>
    </xf>
    <xf numFmtId="0" fontId="8" fillId="19" borderId="21" xfId="0" applyFont="1" applyFill="1" applyBorder="1" applyAlignment="1">
      <alignment horizontal="center"/>
    </xf>
    <xf numFmtId="1" fontId="8" fillId="19" borderId="21" xfId="0" applyNumberFormat="1" applyFont="1" applyFill="1" applyBorder="1" applyAlignment="1">
      <alignment horizontal="center"/>
    </xf>
    <xf numFmtId="0" fontId="8" fillId="13" borderId="23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vertical="center"/>
    </xf>
    <xf numFmtId="0" fontId="5" fillId="4" borderId="24" xfId="0" applyFont="1" applyFill="1" applyBorder="1" applyAlignment="1">
      <alignment vertical="center" wrapText="1"/>
    </xf>
    <xf numFmtId="0" fontId="8" fillId="5" borderId="24" xfId="0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0" fontId="8" fillId="5" borderId="21" xfId="0" applyFont="1" applyFill="1" applyBorder="1" applyAlignment="1">
      <alignment horizontal="center"/>
    </xf>
    <xf numFmtId="1" fontId="8" fillId="5" borderId="21" xfId="0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horizontal="left" vertical="center"/>
    </xf>
    <xf numFmtId="0" fontId="8" fillId="20" borderId="24" xfId="0" applyFont="1" applyFill="1" applyBorder="1" applyAlignment="1">
      <alignment vertical="center"/>
    </xf>
    <xf numFmtId="0" fontId="8" fillId="20" borderId="25" xfId="0" applyFont="1" applyFill="1" applyBorder="1" applyAlignment="1">
      <alignment vertical="center"/>
    </xf>
    <xf numFmtId="0" fontId="8" fillId="20" borderId="21" xfId="0" applyFont="1" applyFill="1" applyBorder="1" applyAlignment="1">
      <alignment horizontal="center"/>
    </xf>
    <xf numFmtId="1" fontId="8" fillId="20" borderId="21" xfId="0" applyNumberFormat="1" applyFont="1" applyFill="1" applyBorder="1" applyAlignment="1">
      <alignment horizontal="center"/>
    </xf>
    <xf numFmtId="2" fontId="5" fillId="21" borderId="21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8" fillId="16" borderId="24" xfId="0" applyFont="1" applyFill="1" applyBorder="1" applyAlignment="1">
      <alignment vertical="center"/>
    </xf>
    <xf numFmtId="0" fontId="8" fillId="16" borderId="25" xfId="0" applyFont="1" applyFill="1" applyBorder="1" applyAlignment="1">
      <alignment vertical="center"/>
    </xf>
    <xf numFmtId="0" fontId="8" fillId="16" borderId="21" xfId="0" applyFont="1" applyFill="1" applyBorder="1" applyAlignment="1">
      <alignment horizontal="center"/>
    </xf>
    <xf numFmtId="1" fontId="8" fillId="16" borderId="23" xfId="0" applyNumberFormat="1" applyFont="1" applyFill="1" applyBorder="1" applyAlignment="1">
      <alignment horizontal="center"/>
    </xf>
    <xf numFmtId="0" fontId="8" fillId="11" borderId="24" xfId="0" applyFont="1" applyFill="1" applyBorder="1" applyAlignment="1">
      <alignment vertical="center"/>
    </xf>
    <xf numFmtId="0" fontId="8" fillId="11" borderId="25" xfId="0" applyFont="1" applyFill="1" applyBorder="1" applyAlignment="1">
      <alignment vertical="center"/>
    </xf>
    <xf numFmtId="1" fontId="8" fillId="11" borderId="21" xfId="0" applyNumberFormat="1" applyFont="1" applyFill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center"/>
    </xf>
    <xf numFmtId="1" fontId="8" fillId="3" borderId="21" xfId="0" applyNumberFormat="1" applyFont="1" applyFill="1" applyBorder="1" applyAlignment="1">
      <alignment horizontal="center"/>
    </xf>
    <xf numFmtId="0" fontId="5" fillId="13" borderId="26" xfId="0" applyFont="1" applyFill="1" applyBorder="1" applyAlignment="1">
      <alignment horizontal="center"/>
    </xf>
    <xf numFmtId="0" fontId="5" fillId="13" borderId="27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center"/>
    </xf>
    <xf numFmtId="1" fontId="8" fillId="5" borderId="7" xfId="0" applyNumberFormat="1" applyFont="1" applyFill="1" applyBorder="1" applyAlignment="1">
      <alignment horizontal="center"/>
    </xf>
    <xf numFmtId="1" fontId="5" fillId="5" borderId="27" xfId="0" applyNumberFormat="1" applyFont="1" applyFill="1" applyBorder="1" applyAlignment="1">
      <alignment horizontal="center"/>
    </xf>
    <xf numFmtId="1" fontId="8" fillId="5" borderId="20" xfId="0" applyNumberFormat="1" applyFont="1" applyFill="1" applyBorder="1" applyAlignment="1">
      <alignment horizontal="center"/>
    </xf>
    <xf numFmtId="0" fontId="23" fillId="4" borderId="0" xfId="0" applyFont="1" applyFill="1" applyBorder="1"/>
    <xf numFmtId="0" fontId="8" fillId="19" borderId="22" xfId="0" applyFont="1" applyFill="1" applyBorder="1" applyAlignment="1">
      <alignment horizontal="center"/>
    </xf>
    <xf numFmtId="1" fontId="8" fillId="19" borderId="22" xfId="0" applyNumberFormat="1" applyFont="1" applyFill="1" applyBorder="1" applyAlignment="1">
      <alignment horizontal="center"/>
    </xf>
    <xf numFmtId="1" fontId="5" fillId="13" borderId="23" xfId="0" applyNumberFormat="1" applyFont="1" applyFill="1" applyBorder="1" applyAlignment="1">
      <alignment horizontal="center"/>
    </xf>
    <xf numFmtId="1" fontId="5" fillId="13" borderId="21" xfId="0" applyNumberFormat="1" applyFont="1" applyFill="1" applyBorder="1" applyAlignment="1">
      <alignment horizontal="center"/>
    </xf>
    <xf numFmtId="0" fontId="8" fillId="22" borderId="24" xfId="0" applyFont="1" applyFill="1" applyBorder="1" applyAlignment="1">
      <alignment vertical="center"/>
    </xf>
    <xf numFmtId="0" fontId="8" fillId="22" borderId="25" xfId="0" applyFont="1" applyFill="1" applyBorder="1" applyAlignment="1">
      <alignment vertical="center"/>
    </xf>
    <xf numFmtId="0" fontId="8" fillId="22" borderId="21" xfId="0" applyFont="1" applyFill="1" applyBorder="1" applyAlignment="1">
      <alignment horizontal="center"/>
    </xf>
    <xf numFmtId="1" fontId="8" fillId="22" borderId="21" xfId="0" applyNumberFormat="1" applyFont="1" applyFill="1" applyBorder="1" applyAlignment="1">
      <alignment horizontal="center"/>
    </xf>
    <xf numFmtId="2" fontId="5" fillId="16" borderId="21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/>
    </xf>
    <xf numFmtId="1" fontId="8" fillId="19" borderId="26" xfId="0" applyNumberFormat="1" applyFont="1" applyFill="1" applyBorder="1" applyAlignment="1">
      <alignment horizontal="center"/>
    </xf>
    <xf numFmtId="1" fontId="8" fillId="19" borderId="30" xfId="0" applyNumberFormat="1" applyFont="1" applyFill="1" applyBorder="1" applyAlignment="1">
      <alignment horizontal="center"/>
    </xf>
    <xf numFmtId="2" fontId="8" fillId="16" borderId="30" xfId="0" applyNumberFormat="1" applyFont="1" applyFill="1" applyBorder="1" applyAlignment="1">
      <alignment horizontal="center"/>
    </xf>
    <xf numFmtId="0" fontId="4" fillId="4" borderId="0" xfId="1" applyFont="1" applyFill="1"/>
    <xf numFmtId="0" fontId="8" fillId="0" borderId="0" xfId="0" applyFont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1" fontId="8" fillId="6" borderId="35" xfId="0" applyNumberFormat="1" applyFont="1" applyFill="1" applyBorder="1" applyAlignment="1">
      <alignment horizontal="center"/>
    </xf>
    <xf numFmtId="1" fontId="8" fillId="6" borderId="36" xfId="0" applyNumberFormat="1" applyFont="1" applyFill="1" applyBorder="1" applyAlignment="1">
      <alignment horizontal="center"/>
    </xf>
    <xf numFmtId="2" fontId="8" fillId="6" borderId="3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15" borderId="0" xfId="0" applyFont="1" applyFill="1" applyBorder="1"/>
    <xf numFmtId="0" fontId="23" fillId="15" borderId="0" xfId="0" applyFont="1" applyFill="1" applyBorder="1"/>
    <xf numFmtId="0" fontId="24" fillId="0" borderId="0" xfId="0" applyFont="1"/>
    <xf numFmtId="0" fontId="12" fillId="0" borderId="16" xfId="1" applyFont="1" applyFill="1" applyBorder="1" applyAlignment="1">
      <alignment horizontal="right" vertical="center"/>
    </xf>
    <xf numFmtId="0" fontId="12" fillId="0" borderId="16" xfId="1" applyFont="1" applyBorder="1" applyAlignment="1">
      <alignment horizontal="center" vertical="center"/>
    </xf>
    <xf numFmtId="0" fontId="5" fillId="0" borderId="16" xfId="1" applyFont="1" applyBorder="1"/>
    <xf numFmtId="0" fontId="5" fillId="0" borderId="16" xfId="1" applyFont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6" xfId="1" applyFont="1" applyBorder="1" applyAlignment="1">
      <alignment vertical="top"/>
    </xf>
    <xf numFmtId="0" fontId="5" fillId="0" borderId="16" xfId="1" applyFont="1" applyBorder="1" applyAlignment="1">
      <alignment vertical="center" wrapText="1"/>
    </xf>
    <xf numFmtId="0" fontId="5" fillId="0" borderId="16" xfId="1" applyFont="1" applyBorder="1" applyAlignment="1">
      <alignment horizontal="center" vertical="top"/>
    </xf>
    <xf numFmtId="2" fontId="5" fillId="0" borderId="16" xfId="1" applyNumberFormat="1" applyFont="1" applyBorder="1"/>
    <xf numFmtId="0" fontId="4" fillId="0" borderId="16" xfId="1" applyFont="1" applyBorder="1"/>
    <xf numFmtId="0" fontId="4" fillId="0" borderId="0" xfId="1" applyFont="1"/>
  </cellXfs>
  <cellStyles count="2">
    <cellStyle name="Normal" xfId="0" builtinId="0"/>
    <cellStyle name="Normal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J1000"/>
  <sheetViews>
    <sheetView tabSelected="1" zoomScale="70" zoomScaleNormal="70" workbookViewId="0">
      <pane xSplit="3" ySplit="4" topLeftCell="D5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12.625" defaultRowHeight="15" customHeight="1" x14ac:dyDescent="0.4"/>
  <cols>
    <col min="1" max="1" width="9.75" style="9" customWidth="1"/>
    <col min="2" max="2" width="13.75" style="9" customWidth="1"/>
    <col min="3" max="3" width="22.875" style="9" customWidth="1"/>
    <col min="4" max="4" width="11.5" style="9" customWidth="1"/>
    <col min="5" max="5" width="30.375" style="9" customWidth="1"/>
    <col min="6" max="6" width="16" style="9" customWidth="1"/>
    <col min="7" max="7" width="17.125" style="9" customWidth="1"/>
    <col min="8" max="8" width="16.375" style="9" customWidth="1"/>
    <col min="9" max="9" width="26.125" style="9" customWidth="1"/>
    <col min="10" max="10" width="45.375" style="9" customWidth="1"/>
    <col min="11" max="11" width="17" style="9" customWidth="1"/>
    <col min="12" max="36" width="9" style="9" customWidth="1"/>
    <col min="37" max="16384" width="12.625" style="9"/>
  </cols>
  <sheetData>
    <row r="1" spans="1:36" ht="26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4" customHeight="1" x14ac:dyDescent="0.4">
      <c r="A2" s="10" t="s">
        <v>3</v>
      </c>
      <c r="B2" s="11"/>
      <c r="C2" s="12" t="s">
        <v>4</v>
      </c>
      <c r="D2" s="13"/>
      <c r="E2" s="14"/>
      <c r="F2" s="14"/>
      <c r="G2" s="15" t="s">
        <v>5</v>
      </c>
      <c r="H2" s="16"/>
      <c r="I2" s="17"/>
      <c r="J2" s="1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48" x14ac:dyDescent="0.55000000000000004">
      <c r="A4" s="22" t="s">
        <v>11</v>
      </c>
      <c r="B4" s="23" t="s">
        <v>12</v>
      </c>
      <c r="C4" s="21"/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5" t="s">
        <v>18</v>
      </c>
      <c r="J4" s="25" t="s">
        <v>19</v>
      </c>
      <c r="K4" s="8"/>
      <c r="L4" s="26" t="s">
        <v>20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23.25" customHeight="1" x14ac:dyDescent="0.4">
      <c r="A5" s="27">
        <v>1</v>
      </c>
      <c r="B5" s="28" t="s">
        <v>21</v>
      </c>
      <c r="C5" s="29"/>
      <c r="D5" s="30">
        <v>250</v>
      </c>
      <c r="E5" s="31">
        <v>250</v>
      </c>
      <c r="F5" s="32">
        <f>IFERROR(ROUND((E5/D5)*100,2),0)</f>
        <v>100</v>
      </c>
      <c r="G5" s="33">
        <f t="shared" ref="G5:G19" si="0">IF(F5=0,0,IF(F5="N/A",1,IF(F5&lt;=L$13,1,IF(F5=M$13,2,IF(F5&lt;M$13,(((F5-L$13)/O$11)+1),IF(F5=N$13,3,IF(F5&lt;N$13,(((F5-M$13)/O$11)+2),IF(F5=O$13,4,IF(F5&lt;O$13,(((F5-N$13)/O$11)+3),IF(F5&gt;=P$13,5,IF(F5&lt;P$13,(((F5-O$13)/O$11)+4),0)))))))))))</f>
        <v>5</v>
      </c>
      <c r="H5" s="34" t="str">
        <f t="shared" ref="H5:H19" si="1">IF(G5=5,"ü","û")</f>
        <v>ü</v>
      </c>
      <c r="I5" s="35">
        <v>130.80000000000001</v>
      </c>
      <c r="J5" s="36" t="s">
        <v>22</v>
      </c>
      <c r="K5" s="37"/>
      <c r="L5" s="8" t="s">
        <v>23</v>
      </c>
      <c r="M5" s="8"/>
      <c r="N5" s="8"/>
      <c r="O5" s="38">
        <v>100</v>
      </c>
      <c r="P5" s="8"/>
      <c r="Q5" s="8"/>
      <c r="R5" s="3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23.25" customHeight="1" x14ac:dyDescent="0.55000000000000004">
      <c r="A6" s="40">
        <v>2</v>
      </c>
      <c r="B6" s="41" t="s">
        <v>24</v>
      </c>
      <c r="C6" s="21"/>
      <c r="D6" s="42">
        <v>380</v>
      </c>
      <c r="E6" s="43">
        <v>380</v>
      </c>
      <c r="F6" s="32">
        <f t="shared" ref="F6:F19" si="2">IFERROR(ROUND((E6/D6)*100,2),0)</f>
        <v>100</v>
      </c>
      <c r="G6" s="33">
        <f t="shared" si="0"/>
        <v>5</v>
      </c>
      <c r="H6" s="44" t="str">
        <f t="shared" si="1"/>
        <v>ü</v>
      </c>
      <c r="I6" s="45">
        <v>40.26</v>
      </c>
      <c r="J6" s="43" t="s">
        <v>22</v>
      </c>
      <c r="K6" s="46"/>
      <c r="L6" s="47" t="s">
        <v>25</v>
      </c>
      <c r="M6" s="48" t="s">
        <v>26</v>
      </c>
      <c r="N6" s="48" t="s">
        <v>27</v>
      </c>
      <c r="O6" s="48" t="s">
        <v>28</v>
      </c>
      <c r="P6" s="48" t="s">
        <v>29</v>
      </c>
      <c r="Q6" s="8"/>
      <c r="R6" s="3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4" x14ac:dyDescent="0.4">
      <c r="A7" s="49">
        <v>3</v>
      </c>
      <c r="B7" s="41" t="s">
        <v>30</v>
      </c>
      <c r="C7" s="21"/>
      <c r="D7" s="42">
        <v>420</v>
      </c>
      <c r="E7" s="43">
        <v>420</v>
      </c>
      <c r="F7" s="32">
        <f t="shared" si="2"/>
        <v>100</v>
      </c>
      <c r="G7" s="33">
        <f t="shared" si="0"/>
        <v>5</v>
      </c>
      <c r="H7" s="44" t="str">
        <f t="shared" si="1"/>
        <v>ü</v>
      </c>
      <c r="I7" s="45">
        <v>77.14</v>
      </c>
      <c r="J7" s="43" t="s">
        <v>22</v>
      </c>
      <c r="K7" s="46"/>
      <c r="L7" s="50">
        <v>3900</v>
      </c>
      <c r="M7" s="51">
        <v>4000</v>
      </c>
      <c r="N7" s="51">
        <v>4100</v>
      </c>
      <c r="O7" s="51">
        <v>4200</v>
      </c>
      <c r="P7" s="51">
        <v>4300</v>
      </c>
      <c r="Q7" s="8"/>
      <c r="R7" s="3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23.25" customHeight="1" x14ac:dyDescent="0.55000000000000004">
      <c r="A8" s="40">
        <v>4</v>
      </c>
      <c r="B8" s="52" t="s">
        <v>31</v>
      </c>
      <c r="C8" s="21"/>
      <c r="D8" s="42">
        <v>733</v>
      </c>
      <c r="E8" s="31">
        <v>733</v>
      </c>
      <c r="F8" s="32">
        <f t="shared" si="2"/>
        <v>100</v>
      </c>
      <c r="G8" s="33">
        <f t="shared" si="0"/>
        <v>5</v>
      </c>
      <c r="H8" s="44" t="str">
        <f t="shared" si="1"/>
        <v>ü</v>
      </c>
      <c r="I8" s="45">
        <v>86.91</v>
      </c>
      <c r="J8" s="43" t="s">
        <v>22</v>
      </c>
      <c r="K8" s="37"/>
      <c r="L8" s="8"/>
      <c r="M8" s="8"/>
      <c r="N8" s="8"/>
      <c r="O8" s="8"/>
      <c r="P8" s="8"/>
      <c r="Q8" s="8"/>
      <c r="R8" s="3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24" x14ac:dyDescent="0.4">
      <c r="A9" s="49">
        <v>5</v>
      </c>
      <c r="B9" s="52" t="s">
        <v>32</v>
      </c>
      <c r="C9" s="21"/>
      <c r="D9" s="42">
        <v>195</v>
      </c>
      <c r="E9" s="31">
        <v>195</v>
      </c>
      <c r="F9" s="32">
        <f t="shared" si="2"/>
        <v>100</v>
      </c>
      <c r="G9" s="33">
        <f t="shared" si="0"/>
        <v>5</v>
      </c>
      <c r="H9" s="44" t="str">
        <f t="shared" si="1"/>
        <v>ü</v>
      </c>
      <c r="I9" s="45">
        <v>26.15</v>
      </c>
      <c r="J9" s="43" t="s">
        <v>22</v>
      </c>
      <c r="K9" s="37"/>
      <c r="L9" s="8"/>
      <c r="M9" s="8"/>
      <c r="N9" s="8"/>
      <c r="O9" s="8"/>
      <c r="P9" s="8"/>
      <c r="Q9" s="8"/>
      <c r="R9" s="3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23.25" customHeight="1" x14ac:dyDescent="0.55000000000000004">
      <c r="A10" s="40">
        <v>6</v>
      </c>
      <c r="B10" s="52" t="s">
        <v>33</v>
      </c>
      <c r="C10" s="21"/>
      <c r="D10" s="42">
        <v>210</v>
      </c>
      <c r="E10" s="31">
        <v>210</v>
      </c>
      <c r="F10" s="32">
        <f t="shared" si="2"/>
        <v>100</v>
      </c>
      <c r="G10" s="33">
        <f t="shared" si="0"/>
        <v>5</v>
      </c>
      <c r="H10" s="44" t="str">
        <f t="shared" si="1"/>
        <v>ü</v>
      </c>
      <c r="I10" s="45">
        <v>15.71</v>
      </c>
      <c r="J10" s="43" t="s">
        <v>22</v>
      </c>
      <c r="K10" s="37"/>
      <c r="L10" s="26" t="s">
        <v>34</v>
      </c>
      <c r="M10" s="8"/>
      <c r="N10" s="8"/>
      <c r="O10" s="8"/>
      <c r="P10" s="8"/>
      <c r="Q10" s="8"/>
      <c r="R10" s="3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4" x14ac:dyDescent="0.4">
      <c r="A11" s="49">
        <v>7</v>
      </c>
      <c r="B11" s="52" t="s">
        <v>35</v>
      </c>
      <c r="C11" s="21"/>
      <c r="D11" s="42">
        <v>123</v>
      </c>
      <c r="E11" s="31">
        <v>123</v>
      </c>
      <c r="F11" s="32">
        <f t="shared" si="2"/>
        <v>100</v>
      </c>
      <c r="G11" s="33">
        <f t="shared" si="0"/>
        <v>5</v>
      </c>
      <c r="H11" s="44" t="str">
        <f t="shared" si="1"/>
        <v>ü</v>
      </c>
      <c r="I11" s="45">
        <v>91.87</v>
      </c>
      <c r="J11" s="43" t="s">
        <v>22</v>
      </c>
      <c r="K11" s="37"/>
      <c r="L11" s="8" t="s">
        <v>23</v>
      </c>
      <c r="M11" s="8"/>
      <c r="N11" s="8"/>
      <c r="O11" s="39">
        <v>20</v>
      </c>
      <c r="P11" s="8"/>
      <c r="Q11" s="8"/>
      <c r="R11" s="3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3.25" customHeight="1" x14ac:dyDescent="0.55000000000000004">
      <c r="A12" s="40">
        <v>8</v>
      </c>
      <c r="B12" s="52" t="s">
        <v>36</v>
      </c>
      <c r="C12" s="21"/>
      <c r="D12" s="42">
        <v>85</v>
      </c>
      <c r="E12" s="31">
        <v>85</v>
      </c>
      <c r="F12" s="32">
        <f t="shared" si="2"/>
        <v>100</v>
      </c>
      <c r="G12" s="33">
        <f t="shared" si="0"/>
        <v>5</v>
      </c>
      <c r="H12" s="44" t="str">
        <f t="shared" si="1"/>
        <v>ü</v>
      </c>
      <c r="I12" s="53">
        <v>100</v>
      </c>
      <c r="J12" s="43" t="s">
        <v>22</v>
      </c>
      <c r="K12" s="37"/>
      <c r="L12" s="48" t="s">
        <v>25</v>
      </c>
      <c r="M12" s="48" t="s">
        <v>26</v>
      </c>
      <c r="N12" s="48" t="s">
        <v>27</v>
      </c>
      <c r="O12" s="48" t="s">
        <v>28</v>
      </c>
      <c r="P12" s="48" t="s">
        <v>29</v>
      </c>
      <c r="Q12" s="8"/>
      <c r="R12" s="3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3.25" customHeight="1" x14ac:dyDescent="0.4">
      <c r="A13" s="49">
        <v>9</v>
      </c>
      <c r="B13" s="52" t="s">
        <v>37</v>
      </c>
      <c r="C13" s="21"/>
      <c r="D13" s="42">
        <v>105</v>
      </c>
      <c r="E13" s="31">
        <v>105</v>
      </c>
      <c r="F13" s="32">
        <f t="shared" si="2"/>
        <v>100</v>
      </c>
      <c r="G13" s="33">
        <f t="shared" si="0"/>
        <v>5</v>
      </c>
      <c r="H13" s="44" t="str">
        <f t="shared" si="1"/>
        <v>ü</v>
      </c>
      <c r="I13" s="45">
        <v>96.19</v>
      </c>
      <c r="J13" s="43" t="s">
        <v>22</v>
      </c>
      <c r="K13" s="37"/>
      <c r="L13" s="54">
        <v>20</v>
      </c>
      <c r="M13" s="54">
        <v>40</v>
      </c>
      <c r="N13" s="54">
        <v>60</v>
      </c>
      <c r="O13" s="54">
        <v>80</v>
      </c>
      <c r="P13" s="54">
        <v>100</v>
      </c>
      <c r="Q13" s="8"/>
      <c r="R13" s="3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3.25" customHeight="1" x14ac:dyDescent="0.55000000000000004">
      <c r="A14" s="40">
        <v>10</v>
      </c>
      <c r="B14" s="52" t="s">
        <v>38</v>
      </c>
      <c r="C14" s="21"/>
      <c r="D14" s="42">
        <v>460</v>
      </c>
      <c r="E14" s="31">
        <v>460</v>
      </c>
      <c r="F14" s="32">
        <f t="shared" si="2"/>
        <v>100</v>
      </c>
      <c r="G14" s="33">
        <f t="shared" si="0"/>
        <v>5</v>
      </c>
      <c r="H14" s="44" t="str">
        <f t="shared" si="1"/>
        <v>ü</v>
      </c>
      <c r="I14" s="45">
        <v>131.09</v>
      </c>
      <c r="J14" s="43" t="s">
        <v>22</v>
      </c>
      <c r="K14" s="37"/>
      <c r="L14" s="8"/>
      <c r="M14" s="8"/>
      <c r="N14" s="8"/>
      <c r="O14" s="8"/>
      <c r="P14" s="8"/>
      <c r="Q14" s="8"/>
      <c r="R14" s="3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3.25" customHeight="1" x14ac:dyDescent="0.4">
      <c r="A15" s="49">
        <v>11</v>
      </c>
      <c r="B15" s="52" t="s">
        <v>39</v>
      </c>
      <c r="C15" s="21"/>
      <c r="D15" s="42">
        <v>39</v>
      </c>
      <c r="E15" s="31">
        <v>39</v>
      </c>
      <c r="F15" s="32">
        <f t="shared" si="2"/>
        <v>100</v>
      </c>
      <c r="G15" s="33">
        <f t="shared" si="0"/>
        <v>5</v>
      </c>
      <c r="H15" s="44" t="str">
        <f t="shared" si="1"/>
        <v>ü</v>
      </c>
      <c r="I15" s="45">
        <v>28.21</v>
      </c>
      <c r="J15" s="43" t="s">
        <v>22</v>
      </c>
      <c r="K15" s="37"/>
      <c r="L15" s="8"/>
      <c r="M15" s="8"/>
      <c r="N15" s="8"/>
      <c r="O15" s="8"/>
      <c r="P15" s="8"/>
      <c r="Q15" s="8"/>
      <c r="R15" s="3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3.25" customHeight="1" x14ac:dyDescent="0.55000000000000004">
      <c r="A16" s="40">
        <v>12</v>
      </c>
      <c r="B16" s="52" t="s">
        <v>40</v>
      </c>
      <c r="C16" s="21"/>
      <c r="D16" s="42">
        <v>433</v>
      </c>
      <c r="E16" s="31">
        <v>433</v>
      </c>
      <c r="F16" s="32">
        <f t="shared" si="2"/>
        <v>100</v>
      </c>
      <c r="G16" s="33">
        <f t="shared" si="0"/>
        <v>5</v>
      </c>
      <c r="H16" s="44" t="str">
        <f t="shared" si="1"/>
        <v>ü</v>
      </c>
      <c r="I16" s="45">
        <v>118.48</v>
      </c>
      <c r="J16" s="43" t="s">
        <v>22</v>
      </c>
      <c r="K16" s="37"/>
      <c r="L16" s="8"/>
      <c r="M16" s="8"/>
      <c r="N16" s="8"/>
      <c r="O16" s="8"/>
      <c r="P16" s="8"/>
      <c r="Q16" s="8"/>
      <c r="R16" s="3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3.25" customHeight="1" x14ac:dyDescent="0.4">
      <c r="A17" s="49">
        <v>13</v>
      </c>
      <c r="B17" s="52" t="s">
        <v>41</v>
      </c>
      <c r="C17" s="21"/>
      <c r="D17" s="42">
        <v>427</v>
      </c>
      <c r="E17" s="31">
        <v>427</v>
      </c>
      <c r="F17" s="32">
        <f t="shared" si="2"/>
        <v>100</v>
      </c>
      <c r="G17" s="33">
        <f t="shared" si="0"/>
        <v>5</v>
      </c>
      <c r="H17" s="44" t="str">
        <f t="shared" si="1"/>
        <v>ü</v>
      </c>
      <c r="I17" s="45">
        <v>50.82</v>
      </c>
      <c r="J17" s="43" t="s">
        <v>22</v>
      </c>
      <c r="K17" s="37"/>
      <c r="L17" s="8"/>
      <c r="M17" s="8"/>
      <c r="N17" s="8"/>
      <c r="O17" s="8"/>
      <c r="P17" s="8"/>
      <c r="Q17" s="8"/>
      <c r="R17" s="3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3.25" customHeight="1" x14ac:dyDescent="0.55000000000000004">
      <c r="A18" s="40">
        <v>14</v>
      </c>
      <c r="B18" s="52" t="s">
        <v>42</v>
      </c>
      <c r="C18" s="21"/>
      <c r="D18" s="42">
        <v>440</v>
      </c>
      <c r="E18" s="31">
        <v>440</v>
      </c>
      <c r="F18" s="32">
        <f t="shared" si="2"/>
        <v>100</v>
      </c>
      <c r="G18" s="33">
        <f t="shared" si="0"/>
        <v>5</v>
      </c>
      <c r="H18" s="44" t="str">
        <f t="shared" si="1"/>
        <v>ü</v>
      </c>
      <c r="I18" s="45">
        <v>102.27</v>
      </c>
      <c r="J18" s="43" t="s">
        <v>22</v>
      </c>
      <c r="K18" s="37"/>
      <c r="L18" s="8"/>
      <c r="M18" s="8"/>
      <c r="N18" s="8"/>
      <c r="O18" s="8"/>
      <c r="P18" s="8"/>
      <c r="Q18" s="8"/>
      <c r="R18" s="3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4" customHeight="1" x14ac:dyDescent="0.4">
      <c r="A19" s="55" t="s">
        <v>20</v>
      </c>
      <c r="B19" s="20"/>
      <c r="C19" s="21"/>
      <c r="D19" s="56">
        <v>4300</v>
      </c>
      <c r="E19" s="57">
        <f>SUM(E5:E18)</f>
        <v>4300</v>
      </c>
      <c r="F19" s="58">
        <f t="shared" si="2"/>
        <v>100</v>
      </c>
      <c r="G19" s="59">
        <f t="shared" si="0"/>
        <v>5</v>
      </c>
      <c r="H19" s="60" t="str">
        <f t="shared" si="1"/>
        <v>ü</v>
      </c>
      <c r="I19" s="61"/>
      <c r="J19" s="61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 customHeight="1" x14ac:dyDescent="0.55000000000000004">
      <c r="A20" s="62" t="s">
        <v>43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39.75" customHeight="1" x14ac:dyDescent="0.4">
      <c r="A21" s="63" t="s">
        <v>44</v>
      </c>
      <c r="B21" s="6"/>
      <c r="C21" s="64" t="s">
        <v>45</v>
      </c>
      <c r="D21" s="2"/>
      <c r="E21" s="6"/>
      <c r="F21" s="65" t="s">
        <v>2</v>
      </c>
      <c r="G21" s="65" t="s">
        <v>46</v>
      </c>
      <c r="H21" s="65" t="s">
        <v>17</v>
      </c>
      <c r="I21" s="66" t="s">
        <v>18</v>
      </c>
      <c r="J21" s="67" t="s">
        <v>19</v>
      </c>
      <c r="K21" s="6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37.5" customHeight="1" x14ac:dyDescent="0.4">
      <c r="A22" s="69"/>
      <c r="B22" s="29"/>
      <c r="C22" s="69"/>
      <c r="D22" s="11"/>
      <c r="E22" s="29"/>
      <c r="F22" s="70">
        <v>4</v>
      </c>
      <c r="G22" s="71">
        <v>4</v>
      </c>
      <c r="H22" s="72" t="str">
        <f>IF(G22=5,"ü","û")</f>
        <v>û</v>
      </c>
      <c r="I22" s="70">
        <v>3</v>
      </c>
      <c r="J22" s="31"/>
      <c r="K22" s="6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4" customHeight="1" x14ac:dyDescent="0.4">
      <c r="A23" s="6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4" customHeight="1" x14ac:dyDescent="0.4">
      <c r="A24" s="6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4" customHeight="1" x14ac:dyDescent="0.75">
      <c r="A25" s="73" t="s">
        <v>47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</row>
    <row r="26" spans="1:36" ht="24" customHeight="1" x14ac:dyDescent="0.4">
      <c r="A26" s="68" t="str">
        <f t="shared" ref="A26:B41" si="3">A4</f>
        <v>ลำดับ</v>
      </c>
      <c r="B26" s="8" t="str">
        <f t="shared" si="3"/>
        <v>หน่วยงาน</v>
      </c>
      <c r="C26" s="8" t="e">
        <f>#REF!</f>
        <v>#REF!</v>
      </c>
      <c r="D26" s="8" t="str">
        <f>D4</f>
        <v>เป้าหมาย</v>
      </c>
      <c r="E26" s="75" t="s">
        <v>48</v>
      </c>
      <c r="F26" s="8" t="s">
        <v>49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4" customHeight="1" x14ac:dyDescent="0.4">
      <c r="A27" s="68">
        <f t="shared" si="3"/>
        <v>1</v>
      </c>
      <c r="B27" s="8" t="s">
        <v>50</v>
      </c>
      <c r="C27" s="8">
        <f t="shared" ref="C27:F41" si="4">C5</f>
        <v>0</v>
      </c>
      <c r="D27" s="76">
        <f t="shared" si="4"/>
        <v>250</v>
      </c>
      <c r="E27" s="8">
        <f t="shared" si="4"/>
        <v>250</v>
      </c>
      <c r="F27" s="39">
        <f t="shared" si="4"/>
        <v>100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24" customHeight="1" x14ac:dyDescent="0.4">
      <c r="A28" s="68">
        <f t="shared" si="3"/>
        <v>2</v>
      </c>
      <c r="B28" s="8" t="s">
        <v>51</v>
      </c>
      <c r="C28" s="8">
        <f t="shared" si="4"/>
        <v>0</v>
      </c>
      <c r="D28" s="76">
        <f t="shared" si="4"/>
        <v>380</v>
      </c>
      <c r="E28" s="8">
        <f t="shared" si="4"/>
        <v>380</v>
      </c>
      <c r="F28" s="39">
        <f t="shared" si="4"/>
        <v>100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4" customHeight="1" x14ac:dyDescent="0.4">
      <c r="A29" s="68">
        <f t="shared" si="3"/>
        <v>3</v>
      </c>
      <c r="B29" s="8" t="s">
        <v>52</v>
      </c>
      <c r="C29" s="8">
        <f t="shared" si="4"/>
        <v>0</v>
      </c>
      <c r="D29" s="76">
        <f t="shared" si="4"/>
        <v>420</v>
      </c>
      <c r="E29" s="8">
        <f t="shared" si="4"/>
        <v>420</v>
      </c>
      <c r="F29" s="39">
        <f t="shared" si="4"/>
        <v>100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" customHeight="1" x14ac:dyDescent="0.4">
      <c r="A30" s="68">
        <f t="shared" si="3"/>
        <v>4</v>
      </c>
      <c r="B30" s="8" t="s">
        <v>53</v>
      </c>
      <c r="C30" s="8">
        <f t="shared" si="4"/>
        <v>0</v>
      </c>
      <c r="D30" s="76">
        <f t="shared" si="4"/>
        <v>733</v>
      </c>
      <c r="E30" s="8">
        <f t="shared" si="4"/>
        <v>733</v>
      </c>
      <c r="F30" s="39">
        <f t="shared" si="4"/>
        <v>100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24" customHeight="1" x14ac:dyDescent="0.4">
      <c r="A31" s="68">
        <f t="shared" si="3"/>
        <v>5</v>
      </c>
      <c r="B31" s="8" t="s">
        <v>54</v>
      </c>
      <c r="C31" s="8">
        <f t="shared" si="4"/>
        <v>0</v>
      </c>
      <c r="D31" s="76">
        <f t="shared" si="4"/>
        <v>195</v>
      </c>
      <c r="E31" s="8">
        <f t="shared" si="4"/>
        <v>195</v>
      </c>
      <c r="F31" s="39">
        <f t="shared" si="4"/>
        <v>100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24" customHeight="1" x14ac:dyDescent="0.4">
      <c r="A32" s="68">
        <f t="shared" si="3"/>
        <v>6</v>
      </c>
      <c r="B32" s="8" t="s">
        <v>55</v>
      </c>
      <c r="C32" s="8">
        <f t="shared" si="4"/>
        <v>0</v>
      </c>
      <c r="D32" s="76">
        <f t="shared" si="4"/>
        <v>210</v>
      </c>
      <c r="E32" s="8">
        <f t="shared" si="4"/>
        <v>210</v>
      </c>
      <c r="F32" s="39">
        <f t="shared" si="4"/>
        <v>100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24" customHeight="1" x14ac:dyDescent="0.4">
      <c r="A33" s="68">
        <f t="shared" si="3"/>
        <v>7</v>
      </c>
      <c r="B33" s="8" t="s">
        <v>56</v>
      </c>
      <c r="C33" s="8">
        <f t="shared" si="4"/>
        <v>0</v>
      </c>
      <c r="D33" s="76">
        <f t="shared" si="4"/>
        <v>123</v>
      </c>
      <c r="E33" s="8">
        <f t="shared" si="4"/>
        <v>123</v>
      </c>
      <c r="F33" s="39">
        <f t="shared" si="4"/>
        <v>100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24" customHeight="1" x14ac:dyDescent="0.4">
      <c r="A34" s="68">
        <f t="shared" si="3"/>
        <v>8</v>
      </c>
      <c r="B34" s="8" t="s">
        <v>57</v>
      </c>
      <c r="C34" s="8">
        <f t="shared" si="4"/>
        <v>0</v>
      </c>
      <c r="D34" s="76">
        <f t="shared" si="4"/>
        <v>85</v>
      </c>
      <c r="E34" s="8">
        <f t="shared" si="4"/>
        <v>85</v>
      </c>
      <c r="F34" s="39">
        <f t="shared" si="4"/>
        <v>100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24" customHeight="1" x14ac:dyDescent="0.4">
      <c r="A35" s="68">
        <f t="shared" si="3"/>
        <v>9</v>
      </c>
      <c r="B35" s="8" t="s">
        <v>58</v>
      </c>
      <c r="C35" s="8">
        <f t="shared" si="4"/>
        <v>0</v>
      </c>
      <c r="D35" s="76">
        <f t="shared" si="4"/>
        <v>105</v>
      </c>
      <c r="E35" s="8">
        <f t="shared" si="4"/>
        <v>105</v>
      </c>
      <c r="F35" s="39">
        <f t="shared" si="4"/>
        <v>100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24" customHeight="1" x14ac:dyDescent="0.4">
      <c r="A36" s="68">
        <f t="shared" si="3"/>
        <v>10</v>
      </c>
      <c r="B36" s="8" t="s">
        <v>59</v>
      </c>
      <c r="C36" s="8">
        <f t="shared" si="4"/>
        <v>0</v>
      </c>
      <c r="D36" s="76">
        <f t="shared" si="4"/>
        <v>460</v>
      </c>
      <c r="E36" s="8">
        <f t="shared" si="4"/>
        <v>460</v>
      </c>
      <c r="F36" s="39">
        <f t="shared" si="4"/>
        <v>100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24" customHeight="1" x14ac:dyDescent="0.4">
      <c r="A37" s="68">
        <f t="shared" si="3"/>
        <v>11</v>
      </c>
      <c r="B37" s="8" t="s">
        <v>60</v>
      </c>
      <c r="C37" s="8">
        <f t="shared" si="4"/>
        <v>0</v>
      </c>
      <c r="D37" s="76">
        <f t="shared" si="4"/>
        <v>39</v>
      </c>
      <c r="E37" s="8">
        <f t="shared" si="4"/>
        <v>39</v>
      </c>
      <c r="F37" s="39">
        <f t="shared" si="4"/>
        <v>100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24" customHeight="1" x14ac:dyDescent="0.4">
      <c r="A38" s="68">
        <f t="shared" si="3"/>
        <v>12</v>
      </c>
      <c r="B38" s="8" t="s">
        <v>61</v>
      </c>
      <c r="C38" s="8">
        <f t="shared" si="4"/>
        <v>0</v>
      </c>
      <c r="D38" s="76">
        <f t="shared" si="4"/>
        <v>433</v>
      </c>
      <c r="E38" s="8">
        <f t="shared" si="4"/>
        <v>433</v>
      </c>
      <c r="F38" s="39">
        <f t="shared" si="4"/>
        <v>100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24" customHeight="1" x14ac:dyDescent="0.4">
      <c r="A39" s="68">
        <f t="shared" si="3"/>
        <v>13</v>
      </c>
      <c r="B39" s="8" t="s">
        <v>62</v>
      </c>
      <c r="C39" s="8">
        <f t="shared" si="4"/>
        <v>0</v>
      </c>
      <c r="D39" s="76">
        <f t="shared" si="4"/>
        <v>427</v>
      </c>
      <c r="E39" s="8">
        <f t="shared" si="4"/>
        <v>427</v>
      </c>
      <c r="F39" s="39">
        <f t="shared" si="4"/>
        <v>100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24" customHeight="1" x14ac:dyDescent="0.4">
      <c r="A40" s="68">
        <f t="shared" si="3"/>
        <v>14</v>
      </c>
      <c r="B40" s="8" t="s">
        <v>63</v>
      </c>
      <c r="C40" s="8">
        <f t="shared" si="4"/>
        <v>0</v>
      </c>
      <c r="D40" s="76">
        <f t="shared" si="4"/>
        <v>440</v>
      </c>
      <c r="E40" s="8">
        <f t="shared" si="4"/>
        <v>440</v>
      </c>
      <c r="F40" s="39">
        <f t="shared" si="4"/>
        <v>100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24" customHeight="1" x14ac:dyDescent="0.4">
      <c r="A41" s="68" t="str">
        <f t="shared" si="3"/>
        <v>ระดับมหาวิทยาลัย</v>
      </c>
      <c r="B41" s="8" t="s">
        <v>64</v>
      </c>
      <c r="C41" s="8">
        <f t="shared" si="4"/>
        <v>0</v>
      </c>
      <c r="D41" s="76">
        <f t="shared" si="4"/>
        <v>4300</v>
      </c>
      <c r="E41" s="38">
        <f t="shared" si="4"/>
        <v>4300</v>
      </c>
      <c r="F41" s="39">
        <f t="shared" si="4"/>
        <v>100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24" customHeight="1" x14ac:dyDescent="0.4">
      <c r="A42" s="6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24" customHeight="1" x14ac:dyDescent="0.4">
      <c r="A43" s="6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24" customHeight="1" x14ac:dyDescent="0.4">
      <c r="A44" s="6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24" customHeight="1" x14ac:dyDescent="0.4">
      <c r="A45" s="6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4" customHeight="1" x14ac:dyDescent="0.4">
      <c r="A46" s="6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24" customHeight="1" x14ac:dyDescent="0.4">
      <c r="A47" s="6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24" customHeight="1" x14ac:dyDescent="0.4">
      <c r="A48" s="6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24" customHeight="1" x14ac:dyDescent="0.4">
      <c r="A49" s="6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24" customHeight="1" x14ac:dyDescent="0.4">
      <c r="A50" s="6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24" customHeight="1" x14ac:dyDescent="0.4">
      <c r="A51" s="6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24" customHeight="1" x14ac:dyDescent="0.4">
      <c r="A52" s="6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24" customHeight="1" x14ac:dyDescent="0.4">
      <c r="A53" s="6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24" customHeight="1" x14ac:dyDescent="0.4">
      <c r="A54" s="6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24" customHeight="1" x14ac:dyDescent="0.4">
      <c r="A55" s="6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24" customHeight="1" x14ac:dyDescent="0.4">
      <c r="A56" s="6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24" customHeight="1" x14ac:dyDescent="0.4">
      <c r="A57" s="6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24" customHeight="1" x14ac:dyDescent="0.4">
      <c r="A58" s="6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24" customHeight="1" x14ac:dyDescent="0.4">
      <c r="A59" s="6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24" customHeight="1" x14ac:dyDescent="0.4">
      <c r="A60" s="6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24" customHeight="1" x14ac:dyDescent="0.4">
      <c r="A61" s="6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24" customHeight="1" x14ac:dyDescent="0.4">
      <c r="A62" s="6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24" customHeight="1" x14ac:dyDescent="0.4">
      <c r="A63" s="6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24" customHeight="1" x14ac:dyDescent="0.4">
      <c r="A64" s="6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24" customHeight="1" x14ac:dyDescent="0.4">
      <c r="A65" s="6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24" customHeight="1" x14ac:dyDescent="0.4">
      <c r="A66" s="6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24" customHeight="1" x14ac:dyDescent="0.4">
      <c r="A67" s="6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24" customHeight="1" x14ac:dyDescent="0.4">
      <c r="A68" s="6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24" customHeight="1" x14ac:dyDescent="0.4">
      <c r="A69" s="6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24" customHeight="1" x14ac:dyDescent="0.4">
      <c r="A70" s="6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24" customHeight="1" x14ac:dyDescent="0.4">
      <c r="A71" s="6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24" customHeight="1" x14ac:dyDescent="0.4">
      <c r="A72" s="6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24" customHeight="1" x14ac:dyDescent="0.4">
      <c r="A73" s="6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24" customHeight="1" x14ac:dyDescent="0.4">
      <c r="A74" s="6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24" customHeight="1" x14ac:dyDescent="0.4">
      <c r="A75" s="6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24" customHeight="1" x14ac:dyDescent="0.4">
      <c r="A76" s="6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24" customHeight="1" x14ac:dyDescent="0.4">
      <c r="A77" s="6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24" customHeight="1" x14ac:dyDescent="0.4">
      <c r="A78" s="6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24" customHeight="1" x14ac:dyDescent="0.4">
      <c r="A79" s="6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24" customHeight="1" x14ac:dyDescent="0.4">
      <c r="A80" s="6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24" customHeight="1" x14ac:dyDescent="0.4">
      <c r="A81" s="6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24" customHeight="1" x14ac:dyDescent="0.4">
      <c r="A82" s="6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24" customHeight="1" x14ac:dyDescent="0.4">
      <c r="A83" s="6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24" customHeight="1" x14ac:dyDescent="0.4">
      <c r="A84" s="6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24" customHeight="1" x14ac:dyDescent="0.4">
      <c r="A85" s="6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24" customHeight="1" x14ac:dyDescent="0.4">
      <c r="A86" s="6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24" customHeight="1" x14ac:dyDescent="0.4">
      <c r="A87" s="6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24" customHeight="1" x14ac:dyDescent="0.4">
      <c r="A88" s="6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24" customHeight="1" x14ac:dyDescent="0.4">
      <c r="A89" s="6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24" customHeight="1" x14ac:dyDescent="0.4">
      <c r="A90" s="6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24" customHeight="1" x14ac:dyDescent="0.4">
      <c r="A91" s="6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24" customHeight="1" x14ac:dyDescent="0.4">
      <c r="A92" s="6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24" customHeight="1" x14ac:dyDescent="0.4">
      <c r="A93" s="6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24" customHeight="1" x14ac:dyDescent="0.4">
      <c r="A94" s="6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24" customHeight="1" x14ac:dyDescent="0.4">
      <c r="A95" s="6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24" customHeight="1" x14ac:dyDescent="0.4">
      <c r="A96" s="6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24" customHeight="1" x14ac:dyDescent="0.4">
      <c r="A97" s="6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24" customHeight="1" x14ac:dyDescent="0.4">
      <c r="A98" s="6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24" customHeight="1" x14ac:dyDescent="0.4">
      <c r="A99" s="6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24" customHeight="1" x14ac:dyDescent="0.4">
      <c r="A100" s="6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24" customHeight="1" x14ac:dyDescent="0.4">
      <c r="A101" s="6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24" customHeight="1" x14ac:dyDescent="0.4">
      <c r="A102" s="6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24" customHeight="1" x14ac:dyDescent="0.4">
      <c r="A103" s="6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24" customHeight="1" x14ac:dyDescent="0.4">
      <c r="A104" s="6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24" customHeight="1" x14ac:dyDescent="0.4">
      <c r="A105" s="6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24" customHeight="1" x14ac:dyDescent="0.4">
      <c r="A106" s="6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24" customHeight="1" x14ac:dyDescent="0.4">
      <c r="A107" s="6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24" customHeight="1" x14ac:dyDescent="0.4">
      <c r="A108" s="6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24" customHeight="1" x14ac:dyDescent="0.4">
      <c r="A109" s="6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24" customHeight="1" x14ac:dyDescent="0.4">
      <c r="A110" s="6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24" customHeight="1" x14ac:dyDescent="0.4">
      <c r="A111" s="6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24" customHeight="1" x14ac:dyDescent="0.4">
      <c r="A112" s="6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24" customHeight="1" x14ac:dyDescent="0.4">
      <c r="A113" s="6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24" customHeight="1" x14ac:dyDescent="0.4">
      <c r="A114" s="6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24" customHeight="1" x14ac:dyDescent="0.4">
      <c r="A115" s="6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24" customHeight="1" x14ac:dyDescent="0.4">
      <c r="A116" s="6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24" customHeight="1" x14ac:dyDescent="0.4">
      <c r="A117" s="6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24" customHeight="1" x14ac:dyDescent="0.4">
      <c r="A118" s="6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24" customHeight="1" x14ac:dyDescent="0.4">
      <c r="A119" s="6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24" customHeight="1" x14ac:dyDescent="0.4">
      <c r="A120" s="6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24" customHeight="1" x14ac:dyDescent="0.4">
      <c r="A121" s="6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24" customHeight="1" x14ac:dyDescent="0.4">
      <c r="A122" s="6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24" customHeight="1" x14ac:dyDescent="0.4">
      <c r="A123" s="6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24" customHeight="1" x14ac:dyDescent="0.4">
      <c r="A124" s="6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24" customHeight="1" x14ac:dyDescent="0.4">
      <c r="A125" s="6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24" customHeight="1" x14ac:dyDescent="0.4">
      <c r="A126" s="6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24" customHeight="1" x14ac:dyDescent="0.4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24" customHeight="1" x14ac:dyDescent="0.4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24" customHeight="1" x14ac:dyDescent="0.4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24" customHeight="1" x14ac:dyDescent="0.4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24" customHeight="1" x14ac:dyDescent="0.4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24" customHeight="1" x14ac:dyDescent="0.4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24" customHeight="1" x14ac:dyDescent="0.4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24" customHeight="1" x14ac:dyDescent="0.4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24" customHeight="1" x14ac:dyDescent="0.4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24" customHeight="1" x14ac:dyDescent="0.4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24" customHeight="1" x14ac:dyDescent="0.4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24" customHeight="1" x14ac:dyDescent="0.4">
      <c r="A138" s="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24" customHeight="1" x14ac:dyDescent="0.4">
      <c r="A139" s="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24" customHeight="1" x14ac:dyDescent="0.4">
      <c r="A140" s="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24" customHeight="1" x14ac:dyDescent="0.4">
      <c r="A141" s="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24" customHeight="1" x14ac:dyDescent="0.4">
      <c r="A142" s="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24" customHeight="1" x14ac:dyDescent="0.4">
      <c r="A143" s="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24" customHeight="1" x14ac:dyDescent="0.4">
      <c r="A144" s="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24" customHeight="1" x14ac:dyDescent="0.4">
      <c r="A145" s="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24" customHeight="1" x14ac:dyDescent="0.4">
      <c r="A146" s="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24" customHeight="1" x14ac:dyDescent="0.4">
      <c r="A147" s="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24" customHeight="1" x14ac:dyDescent="0.4">
      <c r="A148" s="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24" customHeight="1" x14ac:dyDescent="0.4">
      <c r="A149" s="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24" customHeight="1" x14ac:dyDescent="0.4">
      <c r="A150" s="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24" customHeight="1" x14ac:dyDescent="0.4">
      <c r="A151" s="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24" customHeight="1" x14ac:dyDescent="0.4">
      <c r="A152" s="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24" customHeight="1" x14ac:dyDescent="0.4">
      <c r="A153" s="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24" customHeight="1" x14ac:dyDescent="0.4">
      <c r="A154" s="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24" customHeight="1" x14ac:dyDescent="0.4">
      <c r="A155" s="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24" customHeight="1" x14ac:dyDescent="0.4">
      <c r="A156" s="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24" customHeight="1" x14ac:dyDescent="0.4">
      <c r="A157" s="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24" customHeight="1" x14ac:dyDescent="0.4">
      <c r="A158" s="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24" customHeight="1" x14ac:dyDescent="0.4">
      <c r="A159" s="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24" customHeight="1" x14ac:dyDescent="0.4">
      <c r="A160" s="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24" customHeight="1" x14ac:dyDescent="0.4">
      <c r="A161" s="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24" customHeight="1" x14ac:dyDescent="0.4">
      <c r="A162" s="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24" customHeight="1" x14ac:dyDescent="0.4">
      <c r="A163" s="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24" customHeight="1" x14ac:dyDescent="0.4">
      <c r="A164" s="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24" customHeight="1" x14ac:dyDescent="0.4">
      <c r="A165" s="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24" customHeight="1" x14ac:dyDescent="0.4">
      <c r="A166" s="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24" customHeight="1" x14ac:dyDescent="0.4">
      <c r="A167" s="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24" customHeight="1" x14ac:dyDescent="0.4">
      <c r="A168" s="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24" customHeight="1" x14ac:dyDescent="0.4">
      <c r="A169" s="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24" customHeight="1" x14ac:dyDescent="0.4">
      <c r="A170" s="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24" customHeight="1" x14ac:dyDescent="0.4">
      <c r="A171" s="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24" customHeight="1" x14ac:dyDescent="0.4">
      <c r="A172" s="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24" customHeight="1" x14ac:dyDescent="0.4">
      <c r="A173" s="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24" customHeight="1" x14ac:dyDescent="0.4">
      <c r="A174" s="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24" customHeight="1" x14ac:dyDescent="0.4">
      <c r="A175" s="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24" customHeight="1" x14ac:dyDescent="0.4">
      <c r="A176" s="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24" customHeight="1" x14ac:dyDescent="0.4">
      <c r="A177" s="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24" customHeight="1" x14ac:dyDescent="0.4">
      <c r="A178" s="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24" customHeight="1" x14ac:dyDescent="0.4">
      <c r="A179" s="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24" customHeight="1" x14ac:dyDescent="0.4">
      <c r="A180" s="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24" customHeight="1" x14ac:dyDescent="0.4">
      <c r="A181" s="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24" customHeight="1" x14ac:dyDescent="0.4">
      <c r="A182" s="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24" customHeight="1" x14ac:dyDescent="0.4">
      <c r="A183" s="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24" customHeight="1" x14ac:dyDescent="0.4">
      <c r="A184" s="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24" customHeight="1" x14ac:dyDescent="0.4">
      <c r="A185" s="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24" customHeight="1" x14ac:dyDescent="0.4">
      <c r="A186" s="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24" customHeight="1" x14ac:dyDescent="0.4">
      <c r="A187" s="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24" customHeight="1" x14ac:dyDescent="0.4">
      <c r="A188" s="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24" customHeight="1" x14ac:dyDescent="0.4">
      <c r="A189" s="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24" customHeight="1" x14ac:dyDescent="0.4">
      <c r="A190" s="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24" customHeight="1" x14ac:dyDescent="0.4">
      <c r="A191" s="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24" customHeight="1" x14ac:dyDescent="0.4">
      <c r="A192" s="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24" customHeight="1" x14ac:dyDescent="0.4">
      <c r="A193" s="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24" customHeight="1" x14ac:dyDescent="0.4">
      <c r="A194" s="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24" customHeight="1" x14ac:dyDescent="0.4">
      <c r="A195" s="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24" customHeight="1" x14ac:dyDescent="0.4">
      <c r="A196" s="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24" customHeight="1" x14ac:dyDescent="0.4">
      <c r="A197" s="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24" customHeight="1" x14ac:dyDescent="0.4">
      <c r="A198" s="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24" customHeight="1" x14ac:dyDescent="0.4">
      <c r="A199" s="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24" customHeight="1" x14ac:dyDescent="0.4">
      <c r="A200" s="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24" customHeight="1" x14ac:dyDescent="0.4">
      <c r="A201" s="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24" customHeight="1" x14ac:dyDescent="0.4">
      <c r="A202" s="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24" customHeight="1" x14ac:dyDescent="0.4">
      <c r="A203" s="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24" customHeight="1" x14ac:dyDescent="0.4">
      <c r="A204" s="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24" customHeight="1" x14ac:dyDescent="0.4">
      <c r="A205" s="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24" customHeight="1" x14ac:dyDescent="0.4">
      <c r="A206" s="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24" customHeight="1" x14ac:dyDescent="0.4">
      <c r="A207" s="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24" customHeight="1" x14ac:dyDescent="0.4">
      <c r="A208" s="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24" customHeight="1" x14ac:dyDescent="0.4">
      <c r="A209" s="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24" customHeight="1" x14ac:dyDescent="0.4">
      <c r="A210" s="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24" customHeight="1" x14ac:dyDescent="0.4">
      <c r="A211" s="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24" customHeight="1" x14ac:dyDescent="0.4">
      <c r="A212" s="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24" customHeight="1" x14ac:dyDescent="0.4">
      <c r="A213" s="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24" customHeight="1" x14ac:dyDescent="0.4">
      <c r="A214" s="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24" customHeight="1" x14ac:dyDescent="0.4">
      <c r="A215" s="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24" customHeight="1" x14ac:dyDescent="0.4">
      <c r="A216" s="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24" customHeight="1" x14ac:dyDescent="0.4">
      <c r="A217" s="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24" customHeight="1" x14ac:dyDescent="0.4">
      <c r="A218" s="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24" customHeight="1" x14ac:dyDescent="0.4">
      <c r="A219" s="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24" customHeight="1" x14ac:dyDescent="0.4">
      <c r="A220" s="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24" customHeight="1" x14ac:dyDescent="0.4">
      <c r="A221" s="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24" customHeight="1" x14ac:dyDescent="0.4">
      <c r="A222" s="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24" customHeight="1" x14ac:dyDescent="0.4">
      <c r="A223" s="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24" customHeight="1" x14ac:dyDescent="0.4">
      <c r="A224" s="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24" customHeight="1" x14ac:dyDescent="0.4">
      <c r="A225" s="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24" customHeight="1" x14ac:dyDescent="0.4">
      <c r="A226" s="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24" customHeight="1" x14ac:dyDescent="0.4">
      <c r="A227" s="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24" customHeight="1" x14ac:dyDescent="0.4">
      <c r="A228" s="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24" customHeight="1" x14ac:dyDescent="0.4">
      <c r="A229" s="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24" customHeight="1" x14ac:dyDescent="0.4">
      <c r="A230" s="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24" customHeight="1" x14ac:dyDescent="0.4">
      <c r="A231" s="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24" customHeight="1" x14ac:dyDescent="0.4">
      <c r="A232" s="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24" customHeight="1" x14ac:dyDescent="0.4">
      <c r="A233" s="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24" customHeight="1" x14ac:dyDescent="0.4">
      <c r="A234" s="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24" customHeight="1" x14ac:dyDescent="0.4">
      <c r="A235" s="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24" customHeight="1" x14ac:dyDescent="0.4">
      <c r="A236" s="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24" customHeight="1" x14ac:dyDescent="0.4">
      <c r="A237" s="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24" customHeight="1" x14ac:dyDescent="0.4">
      <c r="A238" s="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24" customHeight="1" x14ac:dyDescent="0.4">
      <c r="A239" s="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24" customHeight="1" x14ac:dyDescent="0.4">
      <c r="A240" s="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24" customHeight="1" x14ac:dyDescent="0.4">
      <c r="A241" s="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:3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:3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:3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:3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:3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:3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:3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:3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:3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:3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:3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:3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:3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:3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:3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:3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:3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:3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:3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:3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:3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1:3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1:3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1:3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1:3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1:3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1:3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1:3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1:3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1:3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1:3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1:3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1:3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1:3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1:3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1:3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1:3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1:3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1:3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1:3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1:3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1:3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1:3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1:3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1:3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1:3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1:3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1:3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1:3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1:3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1:3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1:3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1:3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1:3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1:3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1:3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1:3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1:3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1:3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1:3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1:3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1:3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1:3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1:3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1:3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1:3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1:3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1:3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1:3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1:3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1:3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1:3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1:3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1:3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1:3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1:3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1:3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1:3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1:3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1:3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1:3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1:3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1:3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1:3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1:3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1:3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1:3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1:3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1:3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1:3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1:3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1:3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1:3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1:3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1:3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1:3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1:3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1:3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1:3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1:3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1:3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1:3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1:3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1:3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1:3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1:3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1:3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1:3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1:3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1:3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1:3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1:3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1:3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1:3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1:3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1:3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1:3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1:3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1:3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1:3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1:3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1:3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1:3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1:3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1:3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1:3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1:3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1:3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1:3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1:3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1:3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1:3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1:3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1:3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1:3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1:3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1:3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1:3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1:3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1:3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1:3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1:3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1:3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1:3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1:3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1:3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1:3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1:3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1:3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1:3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1:3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1:3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1:3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1:3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1:3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1:3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1:3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1:3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1:3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1:3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1:3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1:3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1:3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1:3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1:3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1:3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1:3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1:3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1:3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1:3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1:3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1:3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1:3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1:3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1:3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1:3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1:3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1:3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1:3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1:3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1:3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1:3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1:3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1:3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1:3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1:3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1:3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1:3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1:3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1:3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1:3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1:3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1:3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1:3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1:3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1:3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1:3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1:3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1:3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1:3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1:3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1:3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1:3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1:3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1:3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1:3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1:3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1:3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1:3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1:3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1:3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1:3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1:3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1:3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1:3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1:3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1:3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1:3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1:3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1:3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1:3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1:3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1:3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1:3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1:3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1:3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1:3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1:3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1:3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1:3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1:3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1:3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1:3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1:3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1:3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1:3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1:3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1:3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1:3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1:3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1:3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1:3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1:3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1:3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1:3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1:3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1:3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1:3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1:3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1:3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1:3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1:3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1:3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1:3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1:3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1:3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1:3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1:3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1:3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1:3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1:3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1:3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1:3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1:3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1:3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1:3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1:3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1:3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1:3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1:3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1:3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1:3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1:3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1:3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1:3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1:3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1:3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1:3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1:3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1:3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1:3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1:3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1:3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1:3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1:3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1:3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1:3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1:3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1:3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1:3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1:3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1:3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1:3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1:3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1:3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1:3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1:3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1:3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1:3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1:3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1:3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1:3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1:3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1:3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1:3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1:3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1:3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1:3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1:3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1:3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1:3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1:3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1:3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1:3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1:3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1:3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1:3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1:3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1:3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1:3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1:3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1:3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1:3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1:3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1:3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1:3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1:3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1:3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1:3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1:3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1:3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1:3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1:3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1:3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1:3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1:3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1:3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1:3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1:3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1:3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1:3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1:3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1:3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1:3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1:3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1:3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1:3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1:3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1:3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1:3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1:3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1:3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1:3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1:3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1:3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1:3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1:3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1:3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1:3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1:3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1:3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1:3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1:3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1:3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1:3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1:3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1:3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1:3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1:3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1:3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1:3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1:3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1:3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1:3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1:3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1:3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1:3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1:3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1:3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1:3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1:3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1:3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1:3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1:3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1:3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1:3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1:3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1:3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1:3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1:3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1:3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1:3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1:3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1:3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1:3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1:3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1:3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1:3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1:3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1:3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1:3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1:3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1:3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1:3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1:3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1:3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1:3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1:3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1:3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1:3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1:3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1:3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1:3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1:3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1:3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1:3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1:3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1:3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1:3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1:3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1:3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1:3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1:3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1:3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1:3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1:3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1:3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1:3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1:3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1:3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1:3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1:3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1:3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1:3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1:3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1:3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1:3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1:3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1:3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1:3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1:3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1:3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1:3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1:3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1:3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1:3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1:3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1:3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1:3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1:3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1:3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1:3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1:3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1:3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1:3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1:3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1:3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1:3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1:3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1:3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1:3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1:3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1:3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1:3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1:3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1:3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1:3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1:3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1:3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1:3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1:3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1:3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1:3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1:3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1:3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1:3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1:3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1:3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1:3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1:3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1:3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1:3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1:3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1:3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1:3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1:3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1:3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1:3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1:3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1:3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1:3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1:3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1:3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1:3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1:3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1:3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1:3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1:3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1:3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1:3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G1:H1"/>
    <mergeCell ref="A2:B2"/>
    <mergeCell ref="G2:H2"/>
    <mergeCell ref="E3:H3"/>
  </mergeCells>
  <pageMargins left="0.7" right="0.7" top="0.75" bottom="0.75" header="0" footer="0"/>
  <pageSetup paperSize="9" orientation="landscape" r:id="rId1"/>
  <rowBreaks count="1" manualBreakCount="1">
    <brk id="22" man="1"/>
  </rowBreaks>
  <colBreaks count="1" manualBreakCount="1">
    <brk id="10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zoomScale="70" zoomScaleNormal="70" workbookViewId="0">
      <pane ySplit="4" topLeftCell="A5" activePane="bottomLeft" state="frozen"/>
      <selection activeCell="E11" sqref="E11"/>
      <selection pane="bottomLeft" activeCell="E11" sqref="E11"/>
    </sheetView>
  </sheetViews>
  <sheetFormatPr defaultColWidth="12.625" defaultRowHeight="15" customHeight="1" x14ac:dyDescent="0.4"/>
  <cols>
    <col min="1" max="1" width="9.625" style="9" customWidth="1"/>
    <col min="2" max="2" width="28.375" style="9" customWidth="1"/>
    <col min="3" max="3" width="35.125" style="9" customWidth="1"/>
    <col min="4" max="4" width="43.125" style="9" customWidth="1"/>
    <col min="5" max="5" width="20.875" style="9" customWidth="1"/>
    <col min="6" max="7" width="25.625" style="9" customWidth="1"/>
    <col min="8" max="8" width="20.875" style="9" customWidth="1"/>
    <col min="9" max="9" width="19" style="9" customWidth="1"/>
    <col min="10" max="10" width="46.375" style="238" customWidth="1"/>
    <col min="11" max="11" width="15.875" style="9" customWidth="1"/>
    <col min="12" max="29" width="9" style="9" customWidth="1"/>
    <col min="30" max="16384" width="12.625" style="9"/>
  </cols>
  <sheetData>
    <row r="1" spans="1:29" ht="24" customHeight="1" x14ac:dyDescent="0.4">
      <c r="A1" s="8"/>
      <c r="B1" s="78" t="s">
        <v>0</v>
      </c>
      <c r="C1" s="79" t="s">
        <v>1</v>
      </c>
      <c r="D1" s="80"/>
      <c r="E1" s="80"/>
      <c r="F1" s="4"/>
      <c r="G1" s="4"/>
      <c r="H1" s="4"/>
      <c r="I1" s="81" t="s">
        <v>2</v>
      </c>
      <c r="J1" s="82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4" customHeight="1" x14ac:dyDescent="0.4">
      <c r="A2" s="8"/>
      <c r="B2" s="83" t="s">
        <v>3</v>
      </c>
      <c r="C2" s="84"/>
      <c r="D2" s="84"/>
      <c r="E2" s="84"/>
      <c r="F2" s="13"/>
      <c r="G2" s="13"/>
      <c r="H2" s="13"/>
      <c r="I2" s="85" t="s">
        <v>5</v>
      </c>
      <c r="J2" s="8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4" customHeight="1" x14ac:dyDescent="0.4">
      <c r="A3" s="86"/>
      <c r="B3" s="87"/>
      <c r="C3" s="88"/>
      <c r="D3" s="88"/>
      <c r="E3" s="88"/>
      <c r="F3" s="89"/>
      <c r="G3" s="89"/>
      <c r="H3" s="89"/>
      <c r="I3" s="90"/>
      <c r="J3" s="91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ht="84.75" customHeight="1" x14ac:dyDescent="0.4">
      <c r="A4" s="92" t="s">
        <v>11</v>
      </c>
      <c r="B4" s="92" t="s">
        <v>65</v>
      </c>
      <c r="C4" s="92" t="s">
        <v>66</v>
      </c>
      <c r="D4" s="92" t="s">
        <v>67</v>
      </c>
      <c r="E4" s="93" t="s">
        <v>68</v>
      </c>
      <c r="F4" s="93" t="s">
        <v>69</v>
      </c>
      <c r="G4" s="94" t="s">
        <v>70</v>
      </c>
      <c r="H4" s="94" t="s">
        <v>71</v>
      </c>
      <c r="I4" s="95" t="s">
        <v>72</v>
      </c>
      <c r="J4" s="96" t="s">
        <v>73</v>
      </c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ht="21" customHeight="1" x14ac:dyDescent="0.55000000000000004">
      <c r="A5" s="97"/>
      <c r="B5" s="98" t="s">
        <v>74</v>
      </c>
      <c r="C5" s="99"/>
      <c r="D5" s="100"/>
      <c r="E5" s="101"/>
      <c r="F5" s="102"/>
      <c r="G5" s="103"/>
      <c r="H5" s="103"/>
      <c r="I5" s="104"/>
      <c r="J5" s="105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 ht="21" customHeight="1" x14ac:dyDescent="0.55000000000000004">
      <c r="A6" s="106">
        <v>1</v>
      </c>
      <c r="B6" s="107" t="s">
        <v>75</v>
      </c>
      <c r="C6" s="108" t="s">
        <v>76</v>
      </c>
      <c r="D6" s="109" t="s">
        <v>77</v>
      </c>
      <c r="E6" s="110">
        <v>62</v>
      </c>
      <c r="F6" s="111">
        <f>E6-4-4</f>
        <v>54</v>
      </c>
      <c r="G6" s="111">
        <f t="shared" ref="G6:G9" si="0">(F6*70/100)+1</f>
        <v>38.799999999999997</v>
      </c>
      <c r="H6" s="112">
        <v>54</v>
      </c>
      <c r="I6" s="113">
        <f t="shared" ref="I6:I13" si="1">H6*100/G6</f>
        <v>139.17525773195877</v>
      </c>
      <c r="J6" s="105" t="s">
        <v>78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 ht="21" customHeight="1" x14ac:dyDescent="0.55000000000000004">
      <c r="A7" s="114">
        <v>2</v>
      </c>
      <c r="B7" s="108"/>
      <c r="C7" s="108" t="s">
        <v>79</v>
      </c>
      <c r="D7" s="109" t="s">
        <v>77</v>
      </c>
      <c r="E7" s="110">
        <v>61</v>
      </c>
      <c r="F7" s="111">
        <f>E7-5</f>
        <v>56</v>
      </c>
      <c r="G7" s="111">
        <f t="shared" si="0"/>
        <v>40.200000000000003</v>
      </c>
      <c r="H7" s="112">
        <v>54</v>
      </c>
      <c r="I7" s="113">
        <f t="shared" si="1"/>
        <v>134.32835820895522</v>
      </c>
      <c r="J7" s="105" t="s">
        <v>78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 ht="21" customHeight="1" x14ac:dyDescent="0.55000000000000004">
      <c r="A8" s="114">
        <v>3</v>
      </c>
      <c r="B8" s="108"/>
      <c r="C8" s="108" t="s">
        <v>80</v>
      </c>
      <c r="D8" s="109" t="s">
        <v>77</v>
      </c>
      <c r="E8" s="110">
        <v>55</v>
      </c>
      <c r="F8" s="111">
        <f>E8-4-6-1</f>
        <v>44</v>
      </c>
      <c r="G8" s="111">
        <f t="shared" si="0"/>
        <v>31.8</v>
      </c>
      <c r="H8" s="112">
        <v>44</v>
      </c>
      <c r="I8" s="113">
        <f t="shared" si="1"/>
        <v>138.36477987421384</v>
      </c>
      <c r="J8" s="105" t="s">
        <v>78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1:29" ht="21" customHeight="1" x14ac:dyDescent="0.55000000000000004">
      <c r="A9" s="114">
        <v>4</v>
      </c>
      <c r="B9" s="108"/>
      <c r="C9" s="108" t="s">
        <v>81</v>
      </c>
      <c r="D9" s="109" t="s">
        <v>77</v>
      </c>
      <c r="E9" s="110">
        <v>50</v>
      </c>
      <c r="F9" s="111">
        <f>E9-7-2-3</f>
        <v>38</v>
      </c>
      <c r="G9" s="111">
        <f t="shared" si="0"/>
        <v>27.6</v>
      </c>
      <c r="H9" s="112">
        <v>38</v>
      </c>
      <c r="I9" s="113">
        <f t="shared" si="1"/>
        <v>137.68115942028984</v>
      </c>
      <c r="J9" s="105" t="s">
        <v>78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1:29" ht="21" customHeight="1" x14ac:dyDescent="0.55000000000000004">
      <c r="A10" s="114">
        <v>5</v>
      </c>
      <c r="B10" s="108"/>
      <c r="C10" s="108" t="s">
        <v>82</v>
      </c>
      <c r="D10" s="109" t="s">
        <v>77</v>
      </c>
      <c r="E10" s="110">
        <v>66</v>
      </c>
      <c r="F10" s="111">
        <f>E10-2-1-2</f>
        <v>61</v>
      </c>
      <c r="G10" s="111">
        <f>(F10*70/100)+5</f>
        <v>47.7</v>
      </c>
      <c r="H10" s="112">
        <v>57</v>
      </c>
      <c r="I10" s="113">
        <f t="shared" si="1"/>
        <v>119.49685534591194</v>
      </c>
      <c r="J10" s="105" t="s">
        <v>78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ht="21" customHeight="1" x14ac:dyDescent="0.55000000000000004">
      <c r="A11" s="114">
        <v>6</v>
      </c>
      <c r="B11" s="108"/>
      <c r="C11" s="115" t="s">
        <v>83</v>
      </c>
      <c r="D11" s="109" t="s">
        <v>77</v>
      </c>
      <c r="E11" s="110">
        <v>43</v>
      </c>
      <c r="F11" s="111">
        <f>E11-4-5-2</f>
        <v>32</v>
      </c>
      <c r="G11" s="111">
        <f>(F11*70/100)+1</f>
        <v>23.4</v>
      </c>
      <c r="H11" s="112">
        <v>26</v>
      </c>
      <c r="I11" s="113">
        <f t="shared" si="1"/>
        <v>111.11111111111111</v>
      </c>
      <c r="J11" s="105" t="s">
        <v>78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</row>
    <row r="12" spans="1:29" ht="21" customHeight="1" x14ac:dyDescent="0.55000000000000004">
      <c r="A12" s="114">
        <v>7</v>
      </c>
      <c r="B12" s="108"/>
      <c r="C12" s="108" t="s">
        <v>84</v>
      </c>
      <c r="D12" s="109" t="s">
        <v>85</v>
      </c>
      <c r="E12" s="110">
        <v>61</v>
      </c>
      <c r="F12" s="111">
        <f>E12-6</f>
        <v>55</v>
      </c>
      <c r="G12" s="111">
        <f>(F12*70/100)+2</f>
        <v>40.5</v>
      </c>
      <c r="H12" s="112">
        <v>54</v>
      </c>
      <c r="I12" s="113">
        <f t="shared" si="1"/>
        <v>133.33333333333334</v>
      </c>
      <c r="J12" s="105" t="s">
        <v>78</v>
      </c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</row>
    <row r="13" spans="1:29" ht="21" customHeight="1" x14ac:dyDescent="0.55000000000000004">
      <c r="A13" s="114"/>
      <c r="B13" s="116" t="s">
        <v>86</v>
      </c>
      <c r="C13" s="116"/>
      <c r="D13" s="117"/>
      <c r="E13" s="118">
        <v>398</v>
      </c>
      <c r="F13" s="119">
        <f t="shared" ref="F13:H13" si="2">SUM(F6:F12)</f>
        <v>340</v>
      </c>
      <c r="G13" s="119">
        <f t="shared" si="2"/>
        <v>250.00000000000003</v>
      </c>
      <c r="H13" s="119">
        <f t="shared" si="2"/>
        <v>327</v>
      </c>
      <c r="I13" s="120">
        <f t="shared" si="1"/>
        <v>130.79999999999998</v>
      </c>
      <c r="J13" s="105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</row>
    <row r="14" spans="1:29" ht="21" customHeight="1" x14ac:dyDescent="0.55000000000000004">
      <c r="A14" s="121"/>
      <c r="B14" s="122" t="s">
        <v>87</v>
      </c>
      <c r="C14" s="123"/>
      <c r="D14" s="124"/>
      <c r="E14" s="104"/>
      <c r="F14" s="125"/>
      <c r="G14" s="125"/>
      <c r="H14" s="125"/>
      <c r="I14" s="104"/>
      <c r="J14" s="105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</row>
    <row r="15" spans="1:29" ht="21" customHeight="1" x14ac:dyDescent="0.55000000000000004">
      <c r="A15" s="114">
        <v>8</v>
      </c>
      <c r="B15" s="115" t="s">
        <v>88</v>
      </c>
      <c r="C15" s="126" t="s">
        <v>89</v>
      </c>
      <c r="D15" s="127" t="s">
        <v>90</v>
      </c>
      <c r="E15" s="128">
        <v>39</v>
      </c>
      <c r="F15" s="129">
        <f>E15-1-1-2</f>
        <v>35</v>
      </c>
      <c r="G15" s="129">
        <f t="shared" ref="G15:G28" si="3">F15*70/100</f>
        <v>24.5</v>
      </c>
      <c r="H15" s="129">
        <v>26</v>
      </c>
      <c r="I15" s="130"/>
      <c r="J15" s="105" t="s">
        <v>91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</row>
    <row r="16" spans="1:29" ht="21" customHeight="1" x14ac:dyDescent="0.55000000000000004">
      <c r="A16" s="114">
        <v>9</v>
      </c>
      <c r="B16" s="115"/>
      <c r="C16" s="131" t="s">
        <v>92</v>
      </c>
      <c r="D16" s="127" t="s">
        <v>93</v>
      </c>
      <c r="E16" s="128">
        <v>17</v>
      </c>
      <c r="F16" s="129">
        <f t="shared" ref="F16:F17" si="4">E16-2-2</f>
        <v>13</v>
      </c>
      <c r="G16" s="129">
        <f t="shared" si="3"/>
        <v>9.1</v>
      </c>
      <c r="H16" s="129">
        <v>5</v>
      </c>
      <c r="I16" s="130"/>
      <c r="J16" s="105" t="s">
        <v>94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</row>
    <row r="17" spans="1:29" ht="21" customHeight="1" x14ac:dyDescent="0.55000000000000004">
      <c r="A17" s="114">
        <v>10</v>
      </c>
      <c r="B17" s="115"/>
      <c r="C17" s="131" t="s">
        <v>95</v>
      </c>
      <c r="D17" s="127" t="s">
        <v>90</v>
      </c>
      <c r="E17" s="132">
        <v>19</v>
      </c>
      <c r="F17" s="133">
        <f t="shared" si="4"/>
        <v>15</v>
      </c>
      <c r="G17" s="129">
        <f t="shared" si="3"/>
        <v>10.5</v>
      </c>
      <c r="H17" s="133"/>
      <c r="I17" s="130"/>
      <c r="J17" s="105" t="s">
        <v>96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</row>
    <row r="18" spans="1:29" ht="21" customHeight="1" x14ac:dyDescent="0.55000000000000004">
      <c r="A18" s="114">
        <v>11</v>
      </c>
      <c r="B18" s="115"/>
      <c r="C18" s="131" t="s">
        <v>97</v>
      </c>
      <c r="D18" s="127" t="s">
        <v>90</v>
      </c>
      <c r="E18" s="132">
        <v>9</v>
      </c>
      <c r="F18" s="133">
        <v>9</v>
      </c>
      <c r="G18" s="129">
        <f t="shared" si="3"/>
        <v>6.3</v>
      </c>
      <c r="H18" s="133"/>
      <c r="I18" s="130"/>
      <c r="J18" s="105" t="s">
        <v>96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</row>
    <row r="19" spans="1:29" ht="21" customHeight="1" x14ac:dyDescent="0.55000000000000004">
      <c r="A19" s="114">
        <v>12</v>
      </c>
      <c r="B19" s="115"/>
      <c r="C19" s="131" t="s">
        <v>98</v>
      </c>
      <c r="D19" s="127" t="s">
        <v>90</v>
      </c>
      <c r="E19" s="132">
        <v>8</v>
      </c>
      <c r="F19" s="133">
        <f>E19-1-3</f>
        <v>4</v>
      </c>
      <c r="G19" s="129">
        <f t="shared" si="3"/>
        <v>2.8</v>
      </c>
      <c r="H19" s="133"/>
      <c r="I19" s="130"/>
      <c r="J19" s="105" t="s">
        <v>94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</row>
    <row r="20" spans="1:29" ht="21" customHeight="1" x14ac:dyDescent="0.55000000000000004">
      <c r="A20" s="114">
        <v>13</v>
      </c>
      <c r="B20" s="115"/>
      <c r="C20" s="131" t="s">
        <v>99</v>
      </c>
      <c r="D20" s="127" t="s">
        <v>90</v>
      </c>
      <c r="E20" s="132">
        <v>13</v>
      </c>
      <c r="F20" s="133">
        <f>E20-5-1</f>
        <v>7</v>
      </c>
      <c r="G20" s="129">
        <f t="shared" si="3"/>
        <v>4.9000000000000004</v>
      </c>
      <c r="H20" s="133"/>
      <c r="I20" s="130"/>
      <c r="J20" s="105" t="s">
        <v>100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</row>
    <row r="21" spans="1:29" ht="21" customHeight="1" x14ac:dyDescent="0.55000000000000004">
      <c r="A21" s="114">
        <v>14</v>
      </c>
      <c r="B21" s="115"/>
      <c r="C21" s="131" t="s">
        <v>101</v>
      </c>
      <c r="D21" s="127" t="s">
        <v>93</v>
      </c>
      <c r="E21" s="132">
        <v>27</v>
      </c>
      <c r="F21" s="133">
        <f>E21-3-4-1</f>
        <v>19</v>
      </c>
      <c r="G21" s="129">
        <f t="shared" si="3"/>
        <v>13.3</v>
      </c>
      <c r="H21" s="133"/>
      <c r="I21" s="130"/>
      <c r="J21" s="105" t="s">
        <v>94</v>
      </c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</row>
    <row r="22" spans="1:29" ht="21" customHeight="1" x14ac:dyDescent="0.55000000000000004">
      <c r="A22" s="114">
        <v>15</v>
      </c>
      <c r="B22" s="115"/>
      <c r="C22" s="131" t="s">
        <v>102</v>
      </c>
      <c r="D22" s="127" t="s">
        <v>93</v>
      </c>
      <c r="E22" s="132">
        <v>7</v>
      </c>
      <c r="F22" s="133">
        <v>7</v>
      </c>
      <c r="G22" s="129">
        <f t="shared" si="3"/>
        <v>4.9000000000000004</v>
      </c>
      <c r="H22" s="133">
        <f>2+4</f>
        <v>6</v>
      </c>
      <c r="I22" s="130"/>
      <c r="J22" s="105" t="s">
        <v>96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</row>
    <row r="23" spans="1:29" ht="21" customHeight="1" x14ac:dyDescent="0.55000000000000004">
      <c r="A23" s="114">
        <v>16</v>
      </c>
      <c r="B23" s="108"/>
      <c r="C23" s="134" t="s">
        <v>103</v>
      </c>
      <c r="D23" s="127" t="s">
        <v>90</v>
      </c>
      <c r="E23" s="135">
        <v>85</v>
      </c>
      <c r="F23" s="111">
        <f>E23-11-6-5</f>
        <v>63</v>
      </c>
      <c r="G23" s="129">
        <f t="shared" si="3"/>
        <v>44.1</v>
      </c>
      <c r="H23" s="111">
        <v>6</v>
      </c>
      <c r="I23" s="113"/>
      <c r="J23" s="105" t="s">
        <v>100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</row>
    <row r="24" spans="1:29" ht="21" customHeight="1" x14ac:dyDescent="0.55000000000000004">
      <c r="A24" s="114">
        <v>17</v>
      </c>
      <c r="B24" s="108"/>
      <c r="C24" s="134" t="s">
        <v>104</v>
      </c>
      <c r="D24" s="127" t="s">
        <v>105</v>
      </c>
      <c r="E24" s="135">
        <v>82</v>
      </c>
      <c r="F24" s="111">
        <f>E24-15-8-7</f>
        <v>52</v>
      </c>
      <c r="G24" s="129">
        <f t="shared" si="3"/>
        <v>36.4</v>
      </c>
      <c r="H24" s="111"/>
      <c r="I24" s="113"/>
      <c r="J24" s="105" t="s">
        <v>106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</row>
    <row r="25" spans="1:29" ht="21" customHeight="1" x14ac:dyDescent="0.55000000000000004">
      <c r="A25" s="114">
        <v>18</v>
      </c>
      <c r="B25" s="108"/>
      <c r="C25" s="134" t="s">
        <v>107</v>
      </c>
      <c r="D25" s="127" t="s">
        <v>90</v>
      </c>
      <c r="E25" s="110">
        <v>77</v>
      </c>
      <c r="F25" s="111">
        <f>E25-10-2-6</f>
        <v>59</v>
      </c>
      <c r="G25" s="129">
        <f t="shared" si="3"/>
        <v>41.3</v>
      </c>
      <c r="H25" s="111">
        <v>32</v>
      </c>
      <c r="I25" s="113"/>
      <c r="J25" s="105" t="s">
        <v>100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</row>
    <row r="26" spans="1:29" ht="21" customHeight="1" x14ac:dyDescent="0.55000000000000004">
      <c r="A26" s="114">
        <v>19</v>
      </c>
      <c r="B26" s="108"/>
      <c r="C26" s="134" t="s">
        <v>108</v>
      </c>
      <c r="D26" s="127" t="s">
        <v>90</v>
      </c>
      <c r="E26" s="110">
        <v>44</v>
      </c>
      <c r="F26" s="111">
        <f>E26-4-4-1</f>
        <v>35</v>
      </c>
      <c r="G26" s="129">
        <f t="shared" si="3"/>
        <v>24.5</v>
      </c>
      <c r="H26" s="111">
        <v>4</v>
      </c>
      <c r="I26" s="113"/>
      <c r="J26" s="105" t="s">
        <v>94</v>
      </c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</row>
    <row r="27" spans="1:29" ht="21" customHeight="1" x14ac:dyDescent="0.55000000000000004">
      <c r="A27" s="114">
        <v>20</v>
      </c>
      <c r="B27" s="108"/>
      <c r="C27" s="134" t="s">
        <v>109</v>
      </c>
      <c r="D27" s="127" t="s">
        <v>90</v>
      </c>
      <c r="E27" s="136">
        <v>101</v>
      </c>
      <c r="F27" s="137">
        <f>E27-9-3-2</f>
        <v>87</v>
      </c>
      <c r="G27" s="129">
        <f t="shared" si="3"/>
        <v>60.9</v>
      </c>
      <c r="H27" s="137">
        <v>26</v>
      </c>
      <c r="I27" s="113"/>
      <c r="J27" s="105" t="s">
        <v>94</v>
      </c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</row>
    <row r="28" spans="1:29" ht="21" customHeight="1" x14ac:dyDescent="0.55000000000000004">
      <c r="A28" s="114">
        <v>21</v>
      </c>
      <c r="B28" s="108"/>
      <c r="C28" s="108" t="s">
        <v>110</v>
      </c>
      <c r="D28" s="138" t="s">
        <v>111</v>
      </c>
      <c r="E28" s="114">
        <v>35</v>
      </c>
      <c r="F28" s="137">
        <f>E28-1</f>
        <v>34</v>
      </c>
      <c r="G28" s="129">
        <f t="shared" si="3"/>
        <v>23.8</v>
      </c>
      <c r="H28" s="137">
        <v>4</v>
      </c>
      <c r="I28" s="113"/>
      <c r="J28" s="105" t="s">
        <v>106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</row>
    <row r="29" spans="1:29" ht="21" customHeight="1" x14ac:dyDescent="0.55000000000000004">
      <c r="A29" s="114">
        <v>22</v>
      </c>
      <c r="B29" s="108"/>
      <c r="C29" s="134" t="s">
        <v>112</v>
      </c>
      <c r="D29" s="138" t="s">
        <v>77</v>
      </c>
      <c r="E29" s="135">
        <v>133</v>
      </c>
      <c r="F29" s="139">
        <f>E29-26-2-3</f>
        <v>102</v>
      </c>
      <c r="G29" s="129">
        <f>(F29*70/100)+1</f>
        <v>72.400000000000006</v>
      </c>
      <c r="H29" s="139">
        <v>44</v>
      </c>
      <c r="I29" s="113"/>
      <c r="J29" s="105" t="s">
        <v>113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</row>
    <row r="30" spans="1:29" ht="21" customHeight="1" x14ac:dyDescent="0.55000000000000004">
      <c r="A30" s="114"/>
      <c r="B30" s="140" t="s">
        <v>114</v>
      </c>
      <c r="C30" s="140"/>
      <c r="D30" s="141"/>
      <c r="E30" s="142">
        <f t="shared" ref="E30:H30" si="5">SUM(E15:E29)</f>
        <v>696</v>
      </c>
      <c r="F30" s="143">
        <f t="shared" si="5"/>
        <v>541</v>
      </c>
      <c r="G30" s="143">
        <f t="shared" si="5"/>
        <v>379.70000000000005</v>
      </c>
      <c r="H30" s="143">
        <f t="shared" si="5"/>
        <v>153</v>
      </c>
      <c r="I30" s="120">
        <f>H30*100/E30</f>
        <v>21.982758620689655</v>
      </c>
      <c r="J30" s="105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</row>
    <row r="31" spans="1:29" ht="21" customHeight="1" x14ac:dyDescent="0.55000000000000004">
      <c r="A31" s="121"/>
      <c r="B31" s="122" t="s">
        <v>115</v>
      </c>
      <c r="C31" s="123"/>
      <c r="D31" s="144"/>
      <c r="E31" s="104"/>
      <c r="F31" s="125"/>
      <c r="G31" s="125"/>
      <c r="H31" s="125"/>
      <c r="I31" s="104"/>
      <c r="J31" s="105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</row>
    <row r="32" spans="1:29" ht="21" customHeight="1" x14ac:dyDescent="0.55000000000000004">
      <c r="A32" s="114">
        <v>23</v>
      </c>
      <c r="B32" s="115" t="s">
        <v>116</v>
      </c>
      <c r="C32" s="134" t="s">
        <v>117</v>
      </c>
      <c r="D32" s="138" t="s">
        <v>85</v>
      </c>
      <c r="E32" s="110">
        <v>17</v>
      </c>
      <c r="F32" s="145">
        <f>E32-6-2-3</f>
        <v>6</v>
      </c>
      <c r="G32" s="145">
        <f t="shared" ref="G32:G33" si="6">F32*70/100</f>
        <v>4.2</v>
      </c>
      <c r="H32" s="145">
        <v>2</v>
      </c>
      <c r="I32" s="113"/>
      <c r="J32" s="105" t="s">
        <v>118</v>
      </c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1:29" ht="21" customHeight="1" x14ac:dyDescent="0.55000000000000004">
      <c r="A33" s="114">
        <v>24</v>
      </c>
      <c r="B33" s="134" t="s">
        <v>119</v>
      </c>
      <c r="C33" s="134" t="s">
        <v>120</v>
      </c>
      <c r="D33" s="138" t="s">
        <v>85</v>
      </c>
      <c r="E33" s="110">
        <v>81</v>
      </c>
      <c r="F33" s="111">
        <f>E33-5-4-1</f>
        <v>71</v>
      </c>
      <c r="G33" s="145">
        <f t="shared" si="6"/>
        <v>49.7</v>
      </c>
      <c r="H33" s="111">
        <v>66</v>
      </c>
      <c r="I33" s="113"/>
      <c r="J33" s="105" t="s">
        <v>118</v>
      </c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</row>
    <row r="34" spans="1:29" ht="21" customHeight="1" x14ac:dyDescent="0.55000000000000004">
      <c r="A34" s="114">
        <v>25</v>
      </c>
      <c r="B34" s="115"/>
      <c r="C34" s="115" t="s">
        <v>121</v>
      </c>
      <c r="D34" s="138" t="s">
        <v>85</v>
      </c>
      <c r="E34" s="110">
        <v>119</v>
      </c>
      <c r="F34" s="111">
        <f>E34-4-4-2</f>
        <v>109</v>
      </c>
      <c r="G34" s="145">
        <f>(F34*70/100)+3</f>
        <v>79.3</v>
      </c>
      <c r="H34" s="111">
        <v>51</v>
      </c>
      <c r="I34" s="113"/>
      <c r="J34" s="105" t="s">
        <v>118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</row>
    <row r="35" spans="1:29" ht="21" customHeight="1" x14ac:dyDescent="0.55000000000000004">
      <c r="A35" s="114">
        <v>26</v>
      </c>
      <c r="B35" s="108"/>
      <c r="C35" s="134" t="s">
        <v>122</v>
      </c>
      <c r="D35" s="138" t="s">
        <v>85</v>
      </c>
      <c r="E35" s="110">
        <v>169</v>
      </c>
      <c r="F35" s="111">
        <f>E35-12-11-23</f>
        <v>123</v>
      </c>
      <c r="G35" s="145">
        <f>(F35*70/100)+7</f>
        <v>93.1</v>
      </c>
      <c r="H35" s="111">
        <v>67</v>
      </c>
      <c r="I35" s="113"/>
      <c r="J35" s="105" t="s">
        <v>118</v>
      </c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</row>
    <row r="36" spans="1:29" ht="21" customHeight="1" x14ac:dyDescent="0.55000000000000004">
      <c r="A36" s="114">
        <v>27</v>
      </c>
      <c r="B36" s="108"/>
      <c r="C36" s="115" t="s">
        <v>123</v>
      </c>
      <c r="D36" s="138" t="s">
        <v>85</v>
      </c>
      <c r="E36" s="110">
        <v>54</v>
      </c>
      <c r="F36" s="111">
        <f>E36-1-3-2</f>
        <v>48</v>
      </c>
      <c r="G36" s="145">
        <f>F36*70/100</f>
        <v>33.6</v>
      </c>
      <c r="H36" s="111">
        <v>15</v>
      </c>
      <c r="I36" s="113"/>
      <c r="J36" s="105" t="s">
        <v>118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</row>
    <row r="37" spans="1:29" ht="21" customHeight="1" x14ac:dyDescent="0.55000000000000004">
      <c r="A37" s="114">
        <v>28</v>
      </c>
      <c r="B37" s="108"/>
      <c r="C37" s="115" t="s">
        <v>124</v>
      </c>
      <c r="D37" s="138" t="s">
        <v>85</v>
      </c>
      <c r="E37" s="110">
        <v>129</v>
      </c>
      <c r="F37" s="111">
        <f>E37-7-7-3</f>
        <v>112</v>
      </c>
      <c r="G37" s="145">
        <f t="shared" ref="G37:G38" si="7">(F37*70/100)+5</f>
        <v>83.4</v>
      </c>
      <c r="H37" s="111">
        <v>38</v>
      </c>
      <c r="I37" s="113"/>
      <c r="J37" s="105" t="s">
        <v>118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</row>
    <row r="38" spans="1:29" ht="21" customHeight="1" x14ac:dyDescent="0.55000000000000004">
      <c r="A38" s="114">
        <v>29</v>
      </c>
      <c r="B38" s="108"/>
      <c r="C38" s="146" t="s">
        <v>125</v>
      </c>
      <c r="D38" s="138" t="s">
        <v>85</v>
      </c>
      <c r="E38" s="128">
        <v>130</v>
      </c>
      <c r="F38" s="147">
        <f>E38-15-10-2</f>
        <v>103</v>
      </c>
      <c r="G38" s="145">
        <f t="shared" si="7"/>
        <v>77.099999999999994</v>
      </c>
      <c r="H38" s="111">
        <v>85</v>
      </c>
      <c r="I38" s="130"/>
      <c r="J38" s="105" t="s">
        <v>118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</row>
    <row r="39" spans="1:29" ht="21" customHeight="1" x14ac:dyDescent="0.55000000000000004">
      <c r="A39" s="114"/>
      <c r="B39" s="148" t="s">
        <v>114</v>
      </c>
      <c r="C39" s="149"/>
      <c r="D39" s="150"/>
      <c r="E39" s="151">
        <f t="shared" ref="E39:H39" si="8">SUM(E32:E38)</f>
        <v>699</v>
      </c>
      <c r="F39" s="152">
        <f t="shared" si="8"/>
        <v>572</v>
      </c>
      <c r="G39" s="152">
        <f t="shared" si="8"/>
        <v>420.4</v>
      </c>
      <c r="H39" s="152">
        <f t="shared" si="8"/>
        <v>324</v>
      </c>
      <c r="I39" s="120">
        <f>H39*100/G39</f>
        <v>77.069457659372034</v>
      </c>
      <c r="J39" s="105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</row>
    <row r="40" spans="1:29" ht="21" customHeight="1" x14ac:dyDescent="0.55000000000000004">
      <c r="A40" s="121"/>
      <c r="B40" s="122" t="s">
        <v>126</v>
      </c>
      <c r="C40" s="123"/>
      <c r="D40" s="153"/>
      <c r="E40" s="104"/>
      <c r="F40" s="125"/>
      <c r="G40" s="125"/>
      <c r="H40" s="125"/>
      <c r="I40" s="104"/>
      <c r="J40" s="105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</row>
    <row r="41" spans="1:29" ht="21" customHeight="1" x14ac:dyDescent="0.55000000000000004">
      <c r="A41" s="114">
        <v>30</v>
      </c>
      <c r="B41" s="108" t="s">
        <v>127</v>
      </c>
      <c r="C41" s="115" t="s">
        <v>128</v>
      </c>
      <c r="D41" s="138" t="s">
        <v>85</v>
      </c>
      <c r="E41" s="154">
        <v>57</v>
      </c>
      <c r="F41" s="155">
        <f>E41-6-1-1</f>
        <v>49</v>
      </c>
      <c r="G41" s="155">
        <f t="shared" ref="G41:G49" si="9">F41*70/100</f>
        <v>34.299999999999997</v>
      </c>
      <c r="H41" s="155">
        <v>24</v>
      </c>
      <c r="I41" s="113"/>
      <c r="J41" s="105" t="s">
        <v>91</v>
      </c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</row>
    <row r="42" spans="1:29" ht="21" customHeight="1" x14ac:dyDescent="0.55000000000000004">
      <c r="A42" s="114">
        <v>31</v>
      </c>
      <c r="B42" s="134" t="s">
        <v>129</v>
      </c>
      <c r="C42" s="108" t="s">
        <v>130</v>
      </c>
      <c r="D42" s="138" t="s">
        <v>85</v>
      </c>
      <c r="E42" s="154">
        <v>358</v>
      </c>
      <c r="F42" s="155">
        <f>E42-35-25-26</f>
        <v>272</v>
      </c>
      <c r="G42" s="155">
        <f t="shared" si="9"/>
        <v>190.4</v>
      </c>
      <c r="H42" s="155">
        <v>200</v>
      </c>
      <c r="I42" s="113"/>
      <c r="J42" s="105" t="s">
        <v>91</v>
      </c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</row>
    <row r="43" spans="1:29" ht="21" customHeight="1" x14ac:dyDescent="0.55000000000000004">
      <c r="A43" s="114">
        <v>32</v>
      </c>
      <c r="B43" s="134" t="s">
        <v>131</v>
      </c>
      <c r="C43" s="108" t="s">
        <v>132</v>
      </c>
      <c r="D43" s="138" t="s">
        <v>85</v>
      </c>
      <c r="E43" s="154">
        <v>55</v>
      </c>
      <c r="F43" s="155">
        <f>55-12-11-4-2</f>
        <v>26</v>
      </c>
      <c r="G43" s="155">
        <f t="shared" si="9"/>
        <v>18.2</v>
      </c>
      <c r="H43" s="155">
        <v>139</v>
      </c>
      <c r="I43" s="113"/>
      <c r="J43" s="105" t="s">
        <v>91</v>
      </c>
      <c r="K43" s="68" t="s">
        <v>133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</row>
    <row r="44" spans="1:29" ht="24" customHeight="1" x14ac:dyDescent="0.55000000000000004">
      <c r="A44" s="114">
        <v>33</v>
      </c>
      <c r="B44" s="156"/>
      <c r="C44" s="146" t="s">
        <v>134</v>
      </c>
      <c r="D44" s="138" t="s">
        <v>85</v>
      </c>
      <c r="E44" s="157">
        <v>108</v>
      </c>
      <c r="F44" s="111">
        <f>E44-13-2-4</f>
        <v>89</v>
      </c>
      <c r="G44" s="155">
        <f t="shared" si="9"/>
        <v>62.3</v>
      </c>
      <c r="H44" s="111">
        <v>59</v>
      </c>
      <c r="I44" s="113"/>
      <c r="J44" s="105" t="s">
        <v>91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</row>
    <row r="45" spans="1:29" ht="24" customHeight="1" x14ac:dyDescent="0.55000000000000004">
      <c r="A45" s="114">
        <v>34</v>
      </c>
      <c r="B45" s="134"/>
      <c r="C45" s="146" t="s">
        <v>135</v>
      </c>
      <c r="D45" s="138" t="s">
        <v>85</v>
      </c>
      <c r="E45" s="157">
        <v>100</v>
      </c>
      <c r="F45" s="111">
        <f>E45-10-1-9</f>
        <v>80</v>
      </c>
      <c r="G45" s="155">
        <f t="shared" si="9"/>
        <v>56</v>
      </c>
      <c r="H45" s="111">
        <v>53</v>
      </c>
      <c r="I45" s="113"/>
      <c r="J45" s="105" t="s">
        <v>91</v>
      </c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</row>
    <row r="46" spans="1:29" ht="24" customHeight="1" x14ac:dyDescent="0.55000000000000004">
      <c r="A46" s="114">
        <v>35</v>
      </c>
      <c r="B46" s="134"/>
      <c r="C46" s="146" t="s">
        <v>136</v>
      </c>
      <c r="D46" s="138" t="s">
        <v>85</v>
      </c>
      <c r="E46" s="157">
        <v>216</v>
      </c>
      <c r="F46" s="111">
        <f>E46-19-10-11</f>
        <v>176</v>
      </c>
      <c r="G46" s="155">
        <f t="shared" si="9"/>
        <v>123.2</v>
      </c>
      <c r="H46" s="111"/>
      <c r="I46" s="113"/>
      <c r="J46" s="105" t="s">
        <v>91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</row>
    <row r="47" spans="1:29" ht="24" customHeight="1" x14ac:dyDescent="0.55000000000000004">
      <c r="A47" s="114">
        <v>36</v>
      </c>
      <c r="B47" s="134"/>
      <c r="C47" s="146" t="s">
        <v>137</v>
      </c>
      <c r="D47" s="138" t="s">
        <v>85</v>
      </c>
      <c r="E47" s="157">
        <v>94</v>
      </c>
      <c r="F47" s="111">
        <f>E47-9-3-12</f>
        <v>70</v>
      </c>
      <c r="G47" s="155">
        <f t="shared" si="9"/>
        <v>49</v>
      </c>
      <c r="H47" s="111">
        <v>34</v>
      </c>
      <c r="I47" s="113"/>
      <c r="J47" s="105" t="s">
        <v>91</v>
      </c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</row>
    <row r="48" spans="1:29" ht="24" customHeight="1" x14ac:dyDescent="0.55000000000000004">
      <c r="A48" s="114">
        <v>37</v>
      </c>
      <c r="B48" s="134"/>
      <c r="C48" s="146" t="s">
        <v>138</v>
      </c>
      <c r="D48" s="138" t="s">
        <v>85</v>
      </c>
      <c r="E48" s="157">
        <v>137</v>
      </c>
      <c r="F48" s="111">
        <f>E48-24-10-6</f>
        <v>97</v>
      </c>
      <c r="G48" s="155">
        <f t="shared" si="9"/>
        <v>67.900000000000006</v>
      </c>
      <c r="H48" s="111">
        <v>56</v>
      </c>
      <c r="I48" s="113"/>
      <c r="J48" s="105" t="s">
        <v>91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</row>
    <row r="49" spans="1:29" ht="24" customHeight="1" x14ac:dyDescent="0.55000000000000004">
      <c r="A49" s="114">
        <v>38</v>
      </c>
      <c r="B49" s="134"/>
      <c r="C49" s="146" t="s">
        <v>139</v>
      </c>
      <c r="D49" s="138" t="s">
        <v>85</v>
      </c>
      <c r="E49" s="157">
        <v>240</v>
      </c>
      <c r="F49" s="111">
        <f>E49-26-8-18</f>
        <v>188</v>
      </c>
      <c r="G49" s="155">
        <f t="shared" si="9"/>
        <v>131.6</v>
      </c>
      <c r="H49" s="111">
        <v>72</v>
      </c>
      <c r="I49" s="113"/>
      <c r="J49" s="105" t="s">
        <v>91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</row>
    <row r="50" spans="1:29" ht="24" customHeight="1" x14ac:dyDescent="0.55000000000000004">
      <c r="A50" s="114"/>
      <c r="B50" s="158" t="s">
        <v>114</v>
      </c>
      <c r="C50" s="158"/>
      <c r="D50" s="159"/>
      <c r="E50" s="160">
        <f t="shared" ref="E50:H50" si="10">SUM(E41:E49)</f>
        <v>1365</v>
      </c>
      <c r="F50" s="161">
        <f t="shared" si="10"/>
        <v>1047</v>
      </c>
      <c r="G50" s="161">
        <f t="shared" si="10"/>
        <v>732.9</v>
      </c>
      <c r="H50" s="161">
        <f t="shared" si="10"/>
        <v>637</v>
      </c>
      <c r="I50" s="120">
        <f>H50*100/G50</f>
        <v>86.91499522445082</v>
      </c>
      <c r="J50" s="105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</row>
    <row r="51" spans="1:29" ht="24" customHeight="1" x14ac:dyDescent="0.55000000000000004">
      <c r="A51" s="121"/>
      <c r="B51" s="162" t="s">
        <v>140</v>
      </c>
      <c r="C51" s="123"/>
      <c r="D51" s="144"/>
      <c r="E51" s="104"/>
      <c r="F51" s="125"/>
      <c r="G51" s="125"/>
      <c r="H51" s="125"/>
      <c r="I51" s="104"/>
      <c r="J51" s="105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</row>
    <row r="52" spans="1:29" ht="24" customHeight="1" x14ac:dyDescent="0.55000000000000004">
      <c r="A52" s="114">
        <v>39</v>
      </c>
      <c r="B52" s="115" t="s">
        <v>88</v>
      </c>
      <c r="C52" s="115" t="s">
        <v>141</v>
      </c>
      <c r="D52" s="138" t="s">
        <v>142</v>
      </c>
      <c r="E52" s="110">
        <v>30</v>
      </c>
      <c r="F52" s="111">
        <f>30-7-4-4</f>
        <v>15</v>
      </c>
      <c r="G52" s="111">
        <f>F52*70/100</f>
        <v>10.5</v>
      </c>
      <c r="H52" s="111"/>
      <c r="I52" s="113"/>
      <c r="J52" s="105" t="s">
        <v>100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ht="24" customHeight="1" x14ac:dyDescent="0.55000000000000004">
      <c r="A53" s="114">
        <v>40</v>
      </c>
      <c r="B53" s="115"/>
      <c r="C53" s="115" t="s">
        <v>143</v>
      </c>
      <c r="D53" s="138" t="s">
        <v>142</v>
      </c>
      <c r="E53" s="110">
        <v>56</v>
      </c>
      <c r="F53" s="111">
        <f>56-17-2-6</f>
        <v>31</v>
      </c>
      <c r="G53" s="111">
        <f>(F53*70/100)+1</f>
        <v>22.7</v>
      </c>
      <c r="H53" s="111">
        <v>2</v>
      </c>
      <c r="I53" s="113"/>
      <c r="J53" s="105" t="s">
        <v>100</v>
      </c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</row>
    <row r="54" spans="1:29" ht="39.75" customHeight="1" x14ac:dyDescent="0.55000000000000004">
      <c r="A54" s="114">
        <v>41</v>
      </c>
      <c r="B54" s="115"/>
      <c r="C54" s="115" t="s">
        <v>144</v>
      </c>
      <c r="D54" s="138" t="s">
        <v>77</v>
      </c>
      <c r="E54" s="110">
        <v>25</v>
      </c>
      <c r="F54" s="111">
        <f>25-6-1-2</f>
        <v>16</v>
      </c>
      <c r="G54" s="111">
        <f t="shared" ref="G54:G59" si="11">F54*70/100</f>
        <v>11.2</v>
      </c>
      <c r="H54" s="111">
        <v>3</v>
      </c>
      <c r="I54" s="113"/>
      <c r="J54" s="105" t="s">
        <v>100</v>
      </c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29" ht="24.75" customHeight="1" x14ac:dyDescent="0.55000000000000004">
      <c r="A55" s="114">
        <v>42</v>
      </c>
      <c r="B55" s="115"/>
      <c r="C55" s="115" t="s">
        <v>145</v>
      </c>
      <c r="D55" s="138" t="s">
        <v>85</v>
      </c>
      <c r="E55" s="110">
        <v>7</v>
      </c>
      <c r="F55" s="111">
        <f>7-6</f>
        <v>1</v>
      </c>
      <c r="G55" s="111">
        <f t="shared" si="11"/>
        <v>0.7</v>
      </c>
      <c r="H55" s="111"/>
      <c r="I55" s="113"/>
      <c r="J55" s="105" t="s">
        <v>100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</row>
    <row r="56" spans="1:29" ht="24.75" customHeight="1" x14ac:dyDescent="0.55000000000000004">
      <c r="A56" s="114">
        <v>43</v>
      </c>
      <c r="B56" s="115"/>
      <c r="C56" s="115" t="s">
        <v>146</v>
      </c>
      <c r="D56" s="138" t="s">
        <v>85</v>
      </c>
      <c r="E56" s="110">
        <v>24</v>
      </c>
      <c r="F56" s="111">
        <f>24-9</f>
        <v>15</v>
      </c>
      <c r="G56" s="111">
        <f t="shared" si="11"/>
        <v>10.5</v>
      </c>
      <c r="H56" s="111">
        <v>2</v>
      </c>
      <c r="I56" s="113"/>
      <c r="J56" s="105" t="s">
        <v>100</v>
      </c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</row>
    <row r="57" spans="1:29" ht="24" customHeight="1" x14ac:dyDescent="0.55000000000000004">
      <c r="A57" s="114">
        <v>44</v>
      </c>
      <c r="B57" s="115" t="s">
        <v>147</v>
      </c>
      <c r="C57" s="115" t="s">
        <v>148</v>
      </c>
      <c r="D57" s="138" t="s">
        <v>142</v>
      </c>
      <c r="E57" s="110">
        <v>46</v>
      </c>
      <c r="F57" s="111">
        <f>46-9-2</f>
        <v>35</v>
      </c>
      <c r="G57" s="111">
        <f t="shared" si="11"/>
        <v>24.5</v>
      </c>
      <c r="H57" s="111"/>
      <c r="I57" s="113"/>
      <c r="J57" s="105" t="s">
        <v>149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</row>
    <row r="58" spans="1:29" ht="24" customHeight="1" x14ac:dyDescent="0.55000000000000004">
      <c r="A58" s="114">
        <v>45</v>
      </c>
      <c r="B58" s="115" t="s">
        <v>88</v>
      </c>
      <c r="C58" s="134" t="s">
        <v>150</v>
      </c>
      <c r="D58" s="138" t="s">
        <v>85</v>
      </c>
      <c r="E58" s="110">
        <v>64</v>
      </c>
      <c r="F58" s="111">
        <f>64-10-3-7</f>
        <v>44</v>
      </c>
      <c r="G58" s="111">
        <f t="shared" si="11"/>
        <v>30.8</v>
      </c>
      <c r="H58" s="111">
        <v>1</v>
      </c>
      <c r="I58" s="113"/>
      <c r="J58" s="105" t="s">
        <v>100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</row>
    <row r="59" spans="1:29" ht="24" customHeight="1" x14ac:dyDescent="0.55000000000000004">
      <c r="A59" s="114">
        <v>46</v>
      </c>
      <c r="B59" s="163"/>
      <c r="C59" s="146" t="s">
        <v>151</v>
      </c>
      <c r="D59" s="138" t="s">
        <v>85</v>
      </c>
      <c r="E59" s="128">
        <v>100</v>
      </c>
      <c r="F59" s="155">
        <f>100-44</f>
        <v>56</v>
      </c>
      <c r="G59" s="111">
        <f t="shared" si="11"/>
        <v>39.200000000000003</v>
      </c>
      <c r="H59" s="155">
        <v>5</v>
      </c>
      <c r="I59" s="130"/>
      <c r="J59" s="105" t="s">
        <v>96</v>
      </c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</row>
    <row r="60" spans="1:29" ht="24" customHeight="1" x14ac:dyDescent="0.55000000000000004">
      <c r="A60" s="114">
        <v>47</v>
      </c>
      <c r="B60" s="108"/>
      <c r="C60" s="134" t="s">
        <v>152</v>
      </c>
      <c r="D60" s="138" t="s">
        <v>85</v>
      </c>
      <c r="E60" s="110">
        <v>47</v>
      </c>
      <c r="F60" s="111">
        <f>47-2</f>
        <v>45</v>
      </c>
      <c r="G60" s="111">
        <f>(F60*70/100)+1</f>
        <v>32.5</v>
      </c>
      <c r="H60" s="111">
        <v>38</v>
      </c>
      <c r="I60" s="113"/>
      <c r="J60" s="105" t="s">
        <v>153</v>
      </c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</row>
    <row r="61" spans="1:29" ht="24" customHeight="1" x14ac:dyDescent="0.55000000000000004">
      <c r="A61" s="114">
        <v>48</v>
      </c>
      <c r="B61" s="163"/>
      <c r="C61" s="164" t="s">
        <v>154</v>
      </c>
      <c r="D61" s="138" t="s">
        <v>77</v>
      </c>
      <c r="E61" s="128">
        <v>29</v>
      </c>
      <c r="F61" s="155">
        <f>29-6-6</f>
        <v>17</v>
      </c>
      <c r="G61" s="111">
        <f>F61*70/100</f>
        <v>11.9</v>
      </c>
      <c r="H61" s="155"/>
      <c r="I61" s="130"/>
      <c r="J61" s="105" t="s">
        <v>155</v>
      </c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</row>
    <row r="62" spans="1:29" ht="24" customHeight="1" x14ac:dyDescent="0.55000000000000004">
      <c r="A62" s="114"/>
      <c r="B62" s="165" t="s">
        <v>114</v>
      </c>
      <c r="C62" s="165"/>
      <c r="D62" s="166"/>
      <c r="E62" s="167">
        <f t="shared" ref="E62:H62" si="12">SUM(E52:E61)</f>
        <v>428</v>
      </c>
      <c r="F62" s="168">
        <f t="shared" si="12"/>
        <v>275</v>
      </c>
      <c r="G62" s="168">
        <f t="shared" si="12"/>
        <v>194.50000000000003</v>
      </c>
      <c r="H62" s="168">
        <f t="shared" si="12"/>
        <v>51</v>
      </c>
      <c r="I62" s="120">
        <f>H62*100/G62</f>
        <v>26.221079691516707</v>
      </c>
      <c r="J62" s="105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</row>
    <row r="63" spans="1:29" ht="24" customHeight="1" x14ac:dyDescent="0.55000000000000004">
      <c r="A63" s="121"/>
      <c r="B63" s="122" t="s">
        <v>156</v>
      </c>
      <c r="C63" s="123"/>
      <c r="D63" s="153"/>
      <c r="E63" s="104"/>
      <c r="F63" s="125"/>
      <c r="G63" s="125"/>
      <c r="H63" s="125"/>
      <c r="I63" s="104"/>
      <c r="J63" s="105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</row>
    <row r="64" spans="1:29" ht="24" customHeight="1" x14ac:dyDescent="0.55000000000000004">
      <c r="A64" s="114">
        <v>49</v>
      </c>
      <c r="B64" s="134" t="s">
        <v>157</v>
      </c>
      <c r="C64" s="169" t="s">
        <v>158</v>
      </c>
      <c r="D64" s="138" t="s">
        <v>85</v>
      </c>
      <c r="E64" s="128">
        <v>102</v>
      </c>
      <c r="F64" s="155">
        <f>E64-25-2-10</f>
        <v>65</v>
      </c>
      <c r="G64" s="155">
        <f>F64*70/100</f>
        <v>45.5</v>
      </c>
      <c r="H64" s="155">
        <v>1</v>
      </c>
      <c r="I64" s="130"/>
      <c r="J64" s="105" t="s">
        <v>118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</row>
    <row r="65" spans="1:29" ht="24" customHeight="1" x14ac:dyDescent="0.55000000000000004">
      <c r="A65" s="114">
        <v>50</v>
      </c>
      <c r="B65" s="163"/>
      <c r="C65" s="169" t="s">
        <v>159</v>
      </c>
      <c r="D65" s="138" t="s">
        <v>85</v>
      </c>
      <c r="E65" s="128">
        <f>75+58</f>
        <v>133</v>
      </c>
      <c r="F65" s="155">
        <f>133-28</f>
        <v>105</v>
      </c>
      <c r="G65" s="155">
        <f>(F65*70/100)+1</f>
        <v>74.5</v>
      </c>
      <c r="H65" s="155">
        <v>28</v>
      </c>
      <c r="I65" s="130"/>
      <c r="J65" s="105" t="s">
        <v>118</v>
      </c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</row>
    <row r="66" spans="1:29" ht="24" customHeight="1" x14ac:dyDescent="0.55000000000000004">
      <c r="A66" s="114">
        <v>51</v>
      </c>
      <c r="B66" s="108"/>
      <c r="C66" s="108" t="s">
        <v>160</v>
      </c>
      <c r="D66" s="138" t="s">
        <v>77</v>
      </c>
      <c r="E66" s="110">
        <v>67</v>
      </c>
      <c r="F66" s="155">
        <f>67-3-3-11</f>
        <v>50</v>
      </c>
      <c r="G66" s="155">
        <f t="shared" ref="G66:G69" si="13">F66*70/100</f>
        <v>35</v>
      </c>
      <c r="H66" s="111"/>
      <c r="I66" s="113"/>
      <c r="J66" s="105" t="s">
        <v>100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</row>
    <row r="67" spans="1:29" ht="24" customHeight="1" x14ac:dyDescent="0.55000000000000004">
      <c r="A67" s="114">
        <v>52</v>
      </c>
      <c r="B67" s="108"/>
      <c r="C67" s="108" t="s">
        <v>161</v>
      </c>
      <c r="D67" s="138" t="s">
        <v>77</v>
      </c>
      <c r="E67" s="110">
        <v>52</v>
      </c>
      <c r="F67" s="155">
        <f>52-10-4</f>
        <v>38</v>
      </c>
      <c r="G67" s="155">
        <f t="shared" si="13"/>
        <v>26.6</v>
      </c>
      <c r="H67" s="111">
        <v>4</v>
      </c>
      <c r="I67" s="113"/>
      <c r="J67" s="105" t="s">
        <v>100</v>
      </c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</row>
    <row r="68" spans="1:29" ht="24" customHeight="1" x14ac:dyDescent="0.55000000000000004">
      <c r="A68" s="114">
        <v>53</v>
      </c>
      <c r="B68" s="108"/>
      <c r="C68" s="134" t="s">
        <v>162</v>
      </c>
      <c r="D68" s="138" t="s">
        <v>77</v>
      </c>
      <c r="E68" s="110">
        <v>25</v>
      </c>
      <c r="F68" s="155">
        <f>25-6-4</f>
        <v>15</v>
      </c>
      <c r="G68" s="155">
        <f t="shared" si="13"/>
        <v>10.5</v>
      </c>
      <c r="H68" s="111"/>
      <c r="I68" s="113"/>
      <c r="J68" s="105" t="s">
        <v>100</v>
      </c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</row>
    <row r="69" spans="1:29" ht="24" customHeight="1" x14ac:dyDescent="0.55000000000000004">
      <c r="A69" s="114">
        <v>54</v>
      </c>
      <c r="B69" s="108"/>
      <c r="C69" s="108" t="s">
        <v>163</v>
      </c>
      <c r="D69" s="138" t="s">
        <v>77</v>
      </c>
      <c r="E69" s="110">
        <v>41</v>
      </c>
      <c r="F69" s="155">
        <f>41-9-5-1</f>
        <v>26</v>
      </c>
      <c r="G69" s="155">
        <f t="shared" si="13"/>
        <v>18.2</v>
      </c>
      <c r="H69" s="111"/>
      <c r="I69" s="113"/>
      <c r="J69" s="105" t="s">
        <v>118</v>
      </c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</row>
    <row r="70" spans="1:29" ht="24" customHeight="1" x14ac:dyDescent="0.55000000000000004">
      <c r="A70" s="114"/>
      <c r="B70" s="170" t="s">
        <v>114</v>
      </c>
      <c r="C70" s="170"/>
      <c r="D70" s="171"/>
      <c r="E70" s="172">
        <f t="shared" ref="E70:F70" si="14">SUM(E64,E65,E66:E69)</f>
        <v>420</v>
      </c>
      <c r="F70" s="173">
        <f t="shared" si="14"/>
        <v>299</v>
      </c>
      <c r="G70" s="173">
        <f t="shared" ref="G70:H70" si="15">SUM(G64:G69)</f>
        <v>210.29999999999998</v>
      </c>
      <c r="H70" s="173">
        <f t="shared" si="15"/>
        <v>33</v>
      </c>
      <c r="I70" s="174">
        <f>H70*100/G70</f>
        <v>15.691868758915836</v>
      </c>
      <c r="J70" s="105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</row>
    <row r="71" spans="1:29" ht="24" customHeight="1" x14ac:dyDescent="0.55000000000000004">
      <c r="A71" s="121"/>
      <c r="B71" s="162" t="s">
        <v>164</v>
      </c>
      <c r="C71" s="123"/>
      <c r="D71" s="144"/>
      <c r="E71" s="104"/>
      <c r="F71" s="125"/>
      <c r="G71" s="125"/>
      <c r="H71" s="125"/>
      <c r="I71" s="104"/>
      <c r="J71" s="105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</row>
    <row r="72" spans="1:29" ht="24" customHeight="1" x14ac:dyDescent="0.55000000000000004">
      <c r="A72" s="114">
        <v>55</v>
      </c>
      <c r="B72" s="108" t="s">
        <v>165</v>
      </c>
      <c r="C72" s="108" t="s">
        <v>166</v>
      </c>
      <c r="D72" s="138" t="s">
        <v>77</v>
      </c>
      <c r="E72" s="110">
        <v>34</v>
      </c>
      <c r="F72" s="111">
        <f>34-14-2-1</f>
        <v>17</v>
      </c>
      <c r="G72" s="111">
        <f t="shared" ref="G72:G73" si="16">F72*70/100</f>
        <v>11.9</v>
      </c>
      <c r="H72" s="111">
        <v>19</v>
      </c>
      <c r="I72" s="113"/>
      <c r="J72" s="105" t="s">
        <v>100</v>
      </c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</row>
    <row r="73" spans="1:29" ht="24" customHeight="1" x14ac:dyDescent="0.55000000000000004">
      <c r="A73" s="114">
        <v>56</v>
      </c>
      <c r="B73" s="108"/>
      <c r="C73" s="175" t="s">
        <v>167</v>
      </c>
      <c r="D73" s="138" t="s">
        <v>77</v>
      </c>
      <c r="E73" s="110">
        <v>32</v>
      </c>
      <c r="F73" s="111">
        <f>E73-13-10-1-2</f>
        <v>6</v>
      </c>
      <c r="G73" s="111">
        <f t="shared" si="16"/>
        <v>4.2</v>
      </c>
      <c r="H73" s="111">
        <v>18</v>
      </c>
      <c r="I73" s="113"/>
      <c r="J73" s="105" t="s">
        <v>100</v>
      </c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</row>
    <row r="74" spans="1:29" ht="24" customHeight="1" x14ac:dyDescent="0.55000000000000004">
      <c r="A74" s="114">
        <v>57</v>
      </c>
      <c r="B74" s="108" t="s">
        <v>88</v>
      </c>
      <c r="C74" s="134" t="s">
        <v>168</v>
      </c>
      <c r="D74" s="138" t="s">
        <v>77</v>
      </c>
      <c r="E74" s="110">
        <v>74</v>
      </c>
      <c r="F74" s="111">
        <f>74-12-18-4-3</f>
        <v>37</v>
      </c>
      <c r="G74" s="111">
        <f t="shared" ref="G74:G75" si="17">(F74*70/100)+1</f>
        <v>26.9</v>
      </c>
      <c r="H74" s="111">
        <v>22</v>
      </c>
      <c r="I74" s="113"/>
      <c r="J74" s="105" t="s">
        <v>100</v>
      </c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</row>
    <row r="75" spans="1:29" ht="37.5" customHeight="1" x14ac:dyDescent="0.55000000000000004">
      <c r="A75" s="114">
        <v>58</v>
      </c>
      <c r="B75" s="108" t="s">
        <v>165</v>
      </c>
      <c r="C75" s="134" t="s">
        <v>169</v>
      </c>
      <c r="D75" s="108" t="s">
        <v>170</v>
      </c>
      <c r="E75" s="110">
        <v>36</v>
      </c>
      <c r="F75" s="111">
        <f>36-1</f>
        <v>35</v>
      </c>
      <c r="G75" s="111">
        <f t="shared" si="17"/>
        <v>25.5</v>
      </c>
      <c r="H75" s="111">
        <v>23</v>
      </c>
      <c r="I75" s="113"/>
      <c r="J75" s="105" t="s">
        <v>100</v>
      </c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</row>
    <row r="76" spans="1:29" ht="24" customHeight="1" x14ac:dyDescent="0.55000000000000004">
      <c r="A76" s="114">
        <v>59</v>
      </c>
      <c r="B76" s="108" t="s">
        <v>165</v>
      </c>
      <c r="C76" s="134" t="s">
        <v>171</v>
      </c>
      <c r="D76" s="108" t="s">
        <v>90</v>
      </c>
      <c r="E76" s="110">
        <v>101</v>
      </c>
      <c r="F76" s="111">
        <f>101-14-6-10</f>
        <v>71</v>
      </c>
      <c r="G76" s="111">
        <f>(F76*70/100)+3+2</f>
        <v>54.7</v>
      </c>
      <c r="H76" s="111">
        <v>31</v>
      </c>
      <c r="I76" s="113"/>
      <c r="J76" s="105" t="s">
        <v>149</v>
      </c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</row>
    <row r="77" spans="1:29" ht="24" customHeight="1" x14ac:dyDescent="0.55000000000000004">
      <c r="A77" s="114"/>
      <c r="B77" s="158" t="s">
        <v>114</v>
      </c>
      <c r="C77" s="158"/>
      <c r="D77" s="159"/>
      <c r="E77" s="160">
        <f t="shared" ref="E77:H77" si="18">SUM(E72:E76)</f>
        <v>277</v>
      </c>
      <c r="F77" s="161">
        <f t="shared" si="18"/>
        <v>166</v>
      </c>
      <c r="G77" s="161">
        <f t="shared" si="18"/>
        <v>123.2</v>
      </c>
      <c r="H77" s="161">
        <f t="shared" si="18"/>
        <v>113</v>
      </c>
      <c r="I77" s="120">
        <f>H77*100/G77</f>
        <v>91.720779220779221</v>
      </c>
      <c r="J77" s="105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</row>
    <row r="78" spans="1:29" ht="24" customHeight="1" x14ac:dyDescent="0.55000000000000004">
      <c r="A78" s="121"/>
      <c r="B78" s="122" t="s">
        <v>172</v>
      </c>
      <c r="C78" s="123"/>
      <c r="D78" s="144"/>
      <c r="E78" s="104"/>
      <c r="F78" s="125"/>
      <c r="G78" s="125"/>
      <c r="H78" s="125"/>
      <c r="I78" s="104"/>
      <c r="J78" s="105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</row>
    <row r="79" spans="1:29" ht="24" customHeight="1" x14ac:dyDescent="0.55000000000000004">
      <c r="A79" s="114">
        <v>60</v>
      </c>
      <c r="B79" s="115" t="s">
        <v>173</v>
      </c>
      <c r="C79" s="108" t="s">
        <v>174</v>
      </c>
      <c r="D79" s="109" t="s">
        <v>175</v>
      </c>
      <c r="E79" s="110">
        <v>130</v>
      </c>
      <c r="F79" s="111">
        <f>130-5-5</f>
        <v>120</v>
      </c>
      <c r="G79" s="111">
        <f>(F79*70/100)+1</f>
        <v>85</v>
      </c>
      <c r="H79" s="111">
        <v>116</v>
      </c>
      <c r="I79" s="113"/>
      <c r="J79" s="105" t="s">
        <v>113</v>
      </c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</row>
    <row r="80" spans="1:29" ht="24" customHeight="1" x14ac:dyDescent="0.55000000000000004">
      <c r="A80" s="114"/>
      <c r="B80" s="176" t="s">
        <v>114</v>
      </c>
      <c r="C80" s="176"/>
      <c r="D80" s="177"/>
      <c r="E80" s="178">
        <f t="shared" ref="E80:F80" si="19">E79</f>
        <v>130</v>
      </c>
      <c r="F80" s="179">
        <f t="shared" si="19"/>
        <v>120</v>
      </c>
      <c r="G80" s="179">
        <f t="shared" ref="G80:H80" si="20">SUM(G79)</f>
        <v>85</v>
      </c>
      <c r="H80" s="179">
        <f t="shared" si="20"/>
        <v>116</v>
      </c>
      <c r="I80" s="120">
        <f>H80*100/G80</f>
        <v>136.47058823529412</v>
      </c>
      <c r="J80" s="105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</row>
    <row r="81" spans="1:29" ht="24" customHeight="1" x14ac:dyDescent="0.55000000000000004">
      <c r="A81" s="121"/>
      <c r="B81" s="122" t="s">
        <v>176</v>
      </c>
      <c r="C81" s="123"/>
      <c r="D81" s="144"/>
      <c r="E81" s="104"/>
      <c r="F81" s="125"/>
      <c r="G81" s="125"/>
      <c r="H81" s="125"/>
      <c r="I81" s="104"/>
      <c r="J81" s="105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</row>
    <row r="82" spans="1:29" ht="24" customHeight="1" x14ac:dyDescent="0.55000000000000004">
      <c r="A82" s="114">
        <v>61</v>
      </c>
      <c r="B82" s="115" t="s">
        <v>177</v>
      </c>
      <c r="C82" s="134" t="s">
        <v>178</v>
      </c>
      <c r="D82" s="138" t="s">
        <v>77</v>
      </c>
      <c r="E82" s="110">
        <v>83</v>
      </c>
      <c r="F82" s="111">
        <f>83-11-8-3</f>
        <v>61</v>
      </c>
      <c r="G82" s="111">
        <f>(F82*70/100)-1</f>
        <v>41.7</v>
      </c>
      <c r="H82" s="111">
        <v>48</v>
      </c>
      <c r="I82" s="113"/>
      <c r="J82" s="105" t="s">
        <v>113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</row>
    <row r="83" spans="1:29" ht="24" customHeight="1" x14ac:dyDescent="0.55000000000000004">
      <c r="A83" s="114">
        <v>62</v>
      </c>
      <c r="B83" s="108" t="s">
        <v>88</v>
      </c>
      <c r="C83" s="134" t="s">
        <v>179</v>
      </c>
      <c r="D83" s="108" t="s">
        <v>90</v>
      </c>
      <c r="E83" s="110">
        <f>12+8+18</f>
        <v>38</v>
      </c>
      <c r="F83" s="111">
        <f>E83-5</f>
        <v>33</v>
      </c>
      <c r="G83" s="111">
        <f t="shared" ref="G83:G85" si="21">F83*70/100</f>
        <v>23.1</v>
      </c>
      <c r="H83" s="111">
        <v>15</v>
      </c>
      <c r="I83" s="113"/>
      <c r="J83" s="105" t="s">
        <v>113</v>
      </c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</row>
    <row r="84" spans="1:29" ht="24" customHeight="1" x14ac:dyDescent="0.55000000000000004">
      <c r="A84" s="114">
        <v>63</v>
      </c>
      <c r="B84" s="108" t="s">
        <v>88</v>
      </c>
      <c r="C84" s="108" t="s">
        <v>180</v>
      </c>
      <c r="D84" s="138" t="s">
        <v>111</v>
      </c>
      <c r="E84" s="114">
        <v>13</v>
      </c>
      <c r="F84" s="111">
        <f>E84-2</f>
        <v>11</v>
      </c>
      <c r="G84" s="111">
        <f t="shared" si="21"/>
        <v>7.7</v>
      </c>
      <c r="H84" s="111">
        <v>11</v>
      </c>
      <c r="I84" s="113"/>
      <c r="J84" s="105" t="s">
        <v>113</v>
      </c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</row>
    <row r="85" spans="1:29" ht="24" customHeight="1" x14ac:dyDescent="0.55000000000000004">
      <c r="A85" s="114">
        <v>64</v>
      </c>
      <c r="B85" s="115" t="s">
        <v>181</v>
      </c>
      <c r="C85" s="134" t="s">
        <v>182</v>
      </c>
      <c r="D85" s="138" t="s">
        <v>77</v>
      </c>
      <c r="E85" s="110">
        <v>55</v>
      </c>
      <c r="F85" s="111">
        <f>55-1-8</f>
        <v>46</v>
      </c>
      <c r="G85" s="111">
        <f t="shared" si="21"/>
        <v>32.200000000000003</v>
      </c>
      <c r="H85" s="111">
        <v>27</v>
      </c>
      <c r="I85" s="113"/>
      <c r="J85" s="105" t="s">
        <v>113</v>
      </c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</row>
    <row r="86" spans="1:29" ht="24" customHeight="1" x14ac:dyDescent="0.55000000000000004">
      <c r="A86" s="114"/>
      <c r="B86" s="180" t="s">
        <v>114</v>
      </c>
      <c r="C86" s="180"/>
      <c r="D86" s="181"/>
      <c r="E86" s="182">
        <f t="shared" ref="E86:H86" si="22">SUM(E82:E85)</f>
        <v>189</v>
      </c>
      <c r="F86" s="182">
        <f t="shared" si="22"/>
        <v>151</v>
      </c>
      <c r="G86" s="182">
        <f t="shared" si="22"/>
        <v>104.70000000000002</v>
      </c>
      <c r="H86" s="182">
        <f t="shared" si="22"/>
        <v>101</v>
      </c>
      <c r="I86" s="120">
        <f>H86*100/G86</f>
        <v>96.466093600764069</v>
      </c>
      <c r="J86" s="105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</row>
    <row r="87" spans="1:29" ht="24" customHeight="1" x14ac:dyDescent="0.55000000000000004">
      <c r="A87" s="121"/>
      <c r="B87" s="122" t="s">
        <v>183</v>
      </c>
      <c r="C87" s="123"/>
      <c r="D87" s="144"/>
      <c r="E87" s="104"/>
      <c r="F87" s="125"/>
      <c r="G87" s="125"/>
      <c r="H87" s="125"/>
      <c r="I87" s="104"/>
      <c r="J87" s="105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</row>
    <row r="88" spans="1:29" ht="24" customHeight="1" x14ac:dyDescent="0.55000000000000004">
      <c r="A88" s="114">
        <v>65</v>
      </c>
      <c r="B88" s="108" t="s">
        <v>165</v>
      </c>
      <c r="C88" s="175" t="s">
        <v>184</v>
      </c>
      <c r="D88" s="108" t="s">
        <v>90</v>
      </c>
      <c r="E88" s="110">
        <v>338</v>
      </c>
      <c r="F88" s="111">
        <f>E88-59</f>
        <v>279</v>
      </c>
      <c r="G88" s="111">
        <f>F88*70/100</f>
        <v>195.3</v>
      </c>
      <c r="H88" s="111">
        <v>258</v>
      </c>
      <c r="I88" s="183"/>
      <c r="J88" s="105" t="s">
        <v>153</v>
      </c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</row>
    <row r="89" spans="1:29" ht="24" customHeight="1" x14ac:dyDescent="0.55000000000000004">
      <c r="A89" s="114">
        <v>66</v>
      </c>
      <c r="B89" s="108"/>
      <c r="C89" s="175" t="s">
        <v>185</v>
      </c>
      <c r="D89" s="108" t="s">
        <v>90</v>
      </c>
      <c r="E89" s="110">
        <v>449</v>
      </c>
      <c r="F89" s="111">
        <f>E89-72</f>
        <v>377</v>
      </c>
      <c r="G89" s="111">
        <f>(F89*70/100)+1</f>
        <v>264.89999999999998</v>
      </c>
      <c r="H89" s="111">
        <v>345</v>
      </c>
      <c r="I89" s="183"/>
      <c r="J89" s="105" t="s">
        <v>153</v>
      </c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</row>
    <row r="90" spans="1:29" ht="24" customHeight="1" x14ac:dyDescent="0.55000000000000004">
      <c r="A90" s="114">
        <v>67</v>
      </c>
      <c r="B90" s="108"/>
      <c r="C90" s="175" t="s">
        <v>186</v>
      </c>
      <c r="D90" s="108" t="s">
        <v>90</v>
      </c>
      <c r="E90" s="110">
        <v>2</v>
      </c>
      <c r="F90" s="111">
        <f>E90-1-1</f>
        <v>0</v>
      </c>
      <c r="G90" s="111">
        <f>F90*70/100</f>
        <v>0</v>
      </c>
      <c r="H90" s="111"/>
      <c r="I90" s="183"/>
      <c r="J90" s="105" t="s">
        <v>153</v>
      </c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</row>
    <row r="91" spans="1:29" ht="24" customHeight="1" x14ac:dyDescent="0.55000000000000004">
      <c r="A91" s="114"/>
      <c r="B91" s="184" t="s">
        <v>114</v>
      </c>
      <c r="C91" s="184"/>
      <c r="D91" s="185"/>
      <c r="E91" s="186">
        <f t="shared" ref="E91:H91" si="23">SUM(E88:E90)</f>
        <v>789</v>
      </c>
      <c r="F91" s="187">
        <f t="shared" si="23"/>
        <v>656</v>
      </c>
      <c r="G91" s="187">
        <f t="shared" si="23"/>
        <v>460.2</v>
      </c>
      <c r="H91" s="187">
        <f t="shared" si="23"/>
        <v>603</v>
      </c>
      <c r="I91" s="120">
        <f>H91*100/G91</f>
        <v>131.02998696219035</v>
      </c>
      <c r="J91" s="105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</row>
    <row r="92" spans="1:29" ht="24" customHeight="1" x14ac:dyDescent="0.55000000000000004">
      <c r="A92" s="121"/>
      <c r="B92" s="122" t="s">
        <v>187</v>
      </c>
      <c r="C92" s="123"/>
      <c r="D92" s="144"/>
      <c r="E92" s="188"/>
      <c r="F92" s="189"/>
      <c r="G92" s="189"/>
      <c r="H92" s="189"/>
      <c r="I92" s="104"/>
      <c r="J92" s="105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</row>
    <row r="93" spans="1:29" ht="24" customHeight="1" x14ac:dyDescent="0.55000000000000004">
      <c r="A93" s="190">
        <v>68</v>
      </c>
      <c r="B93" s="115" t="s">
        <v>188</v>
      </c>
      <c r="C93" s="115" t="s">
        <v>189</v>
      </c>
      <c r="D93" s="191" t="s">
        <v>190</v>
      </c>
      <c r="E93" s="192">
        <v>77</v>
      </c>
      <c r="F93" s="193">
        <f>E93-12-4-5</f>
        <v>56</v>
      </c>
      <c r="G93" s="137">
        <f t="shared" ref="G93:G94" si="24">F93*70/100</f>
        <v>39.200000000000003</v>
      </c>
      <c r="H93" s="137">
        <v>11</v>
      </c>
      <c r="I93" s="113"/>
      <c r="J93" s="105" t="s">
        <v>100</v>
      </c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</row>
    <row r="94" spans="1:29" ht="24" customHeight="1" x14ac:dyDescent="0.55000000000000004">
      <c r="A94" s="194"/>
      <c r="B94" s="195" t="s">
        <v>114</v>
      </c>
      <c r="C94" s="20"/>
      <c r="D94" s="21"/>
      <c r="E94" s="196">
        <f t="shared" ref="E94:F94" si="25">SUM(E93)</f>
        <v>77</v>
      </c>
      <c r="F94" s="197">
        <f t="shared" si="25"/>
        <v>56</v>
      </c>
      <c r="G94" s="198">
        <f t="shared" si="24"/>
        <v>39.200000000000003</v>
      </c>
      <c r="H94" s="199">
        <f>SUM(H93)</f>
        <v>11</v>
      </c>
      <c r="I94" s="120">
        <f>H94*100/G94</f>
        <v>28.061224489795915</v>
      </c>
      <c r="J94" s="105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</row>
    <row r="95" spans="1:29" ht="24" customHeight="1" x14ac:dyDescent="0.55000000000000004">
      <c r="A95" s="121"/>
      <c r="B95" s="122" t="s">
        <v>191</v>
      </c>
      <c r="C95" s="123"/>
      <c r="D95" s="144"/>
      <c r="E95" s="104"/>
      <c r="F95" s="125"/>
      <c r="G95" s="125"/>
      <c r="H95" s="125"/>
      <c r="I95" s="104"/>
      <c r="J95" s="105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</row>
    <row r="96" spans="1:29" ht="24" customHeight="1" x14ac:dyDescent="0.55000000000000004">
      <c r="A96" s="114">
        <v>69</v>
      </c>
      <c r="B96" s="108" t="s">
        <v>192</v>
      </c>
      <c r="C96" s="108" t="s">
        <v>193</v>
      </c>
      <c r="D96" s="108" t="s">
        <v>90</v>
      </c>
      <c r="E96" s="110">
        <v>150</v>
      </c>
      <c r="F96" s="111">
        <f>E96-19-8-27</f>
        <v>96</v>
      </c>
      <c r="G96" s="111">
        <f t="shared" ref="G96:G99" si="26">F96*70/100</f>
        <v>67.2</v>
      </c>
      <c r="H96" s="111">
        <v>63</v>
      </c>
      <c r="I96" s="113"/>
      <c r="J96" s="105" t="s">
        <v>118</v>
      </c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</row>
    <row r="97" spans="1:29" ht="24" customHeight="1" x14ac:dyDescent="0.55000000000000004">
      <c r="A97" s="114">
        <v>70</v>
      </c>
      <c r="B97" s="108" t="s">
        <v>194</v>
      </c>
      <c r="C97" s="146" t="s">
        <v>195</v>
      </c>
      <c r="D97" s="108" t="s">
        <v>90</v>
      </c>
      <c r="E97" s="128">
        <v>277</v>
      </c>
      <c r="F97" s="155">
        <f>E97-45</f>
        <v>232</v>
      </c>
      <c r="G97" s="111">
        <f t="shared" si="26"/>
        <v>162.4</v>
      </c>
      <c r="H97" s="111">
        <v>219</v>
      </c>
      <c r="I97" s="113"/>
      <c r="J97" s="105" t="s">
        <v>118</v>
      </c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</row>
    <row r="98" spans="1:29" ht="24" customHeight="1" x14ac:dyDescent="0.55000000000000004">
      <c r="A98" s="114">
        <v>71</v>
      </c>
      <c r="B98" s="163"/>
      <c r="C98" s="164" t="s">
        <v>196</v>
      </c>
      <c r="D98" s="191" t="s">
        <v>190</v>
      </c>
      <c r="E98" s="128">
        <v>101</v>
      </c>
      <c r="F98" s="155">
        <f>E98-20-5-6</f>
        <v>70</v>
      </c>
      <c r="G98" s="111">
        <f t="shared" si="26"/>
        <v>49</v>
      </c>
      <c r="H98" s="111">
        <v>25</v>
      </c>
      <c r="I98" s="113"/>
      <c r="J98" s="105" t="s">
        <v>118</v>
      </c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</row>
    <row r="99" spans="1:29" ht="25.5" customHeight="1" x14ac:dyDescent="0.55000000000000004">
      <c r="A99" s="114">
        <v>72</v>
      </c>
      <c r="B99" s="108" t="s">
        <v>197</v>
      </c>
      <c r="C99" s="134" t="s">
        <v>198</v>
      </c>
      <c r="D99" s="108" t="s">
        <v>199</v>
      </c>
      <c r="E99" s="110">
        <v>266</v>
      </c>
      <c r="F99" s="111">
        <f>266-45</f>
        <v>221</v>
      </c>
      <c r="G99" s="111">
        <f t="shared" si="26"/>
        <v>154.69999999999999</v>
      </c>
      <c r="H99" s="111">
        <v>206</v>
      </c>
      <c r="I99" s="113"/>
      <c r="J99" s="105" t="s">
        <v>118</v>
      </c>
      <c r="K99" s="200" t="s">
        <v>200</v>
      </c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</row>
    <row r="100" spans="1:29" ht="24" customHeight="1" x14ac:dyDescent="0.55000000000000004">
      <c r="A100" s="114"/>
      <c r="B100" s="158" t="s">
        <v>114</v>
      </c>
      <c r="C100" s="158"/>
      <c r="D100" s="159"/>
      <c r="E100" s="201">
        <f t="shared" ref="E100:H100" si="27">SUM(E96:E99)</f>
        <v>794</v>
      </c>
      <c r="F100" s="202">
        <f t="shared" si="27"/>
        <v>619</v>
      </c>
      <c r="G100" s="202">
        <f t="shared" si="27"/>
        <v>433.3</v>
      </c>
      <c r="H100" s="202">
        <f t="shared" si="27"/>
        <v>513</v>
      </c>
      <c r="I100" s="120">
        <f>H100*100/G100</f>
        <v>118.3937225940457</v>
      </c>
      <c r="J100" s="105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</row>
    <row r="101" spans="1:29" ht="24" customHeight="1" x14ac:dyDescent="0.55000000000000004">
      <c r="A101" s="121"/>
      <c r="B101" s="162" t="s">
        <v>201</v>
      </c>
      <c r="C101" s="123"/>
      <c r="D101" s="144"/>
      <c r="E101" s="104"/>
      <c r="F101" s="203"/>
      <c r="G101" s="203"/>
      <c r="H101" s="203"/>
      <c r="I101" s="204"/>
      <c r="J101" s="105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</row>
    <row r="102" spans="1:29" ht="24" customHeight="1" x14ac:dyDescent="0.55000000000000004">
      <c r="A102" s="114">
        <v>73</v>
      </c>
      <c r="B102" s="108" t="s">
        <v>119</v>
      </c>
      <c r="C102" s="134" t="s">
        <v>202</v>
      </c>
      <c r="D102" s="108" t="s">
        <v>90</v>
      </c>
      <c r="E102" s="110">
        <v>178</v>
      </c>
      <c r="F102" s="111">
        <f>E102-10-8-4</f>
        <v>156</v>
      </c>
      <c r="G102" s="111">
        <f>(F102*70/100)+7</f>
        <v>116.2</v>
      </c>
      <c r="H102" s="111">
        <v>68</v>
      </c>
      <c r="I102" s="113"/>
      <c r="J102" s="105" t="s">
        <v>203</v>
      </c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</row>
    <row r="103" spans="1:29" ht="24" customHeight="1" x14ac:dyDescent="0.55000000000000004">
      <c r="A103" s="114">
        <v>74</v>
      </c>
      <c r="B103" s="108"/>
      <c r="C103" s="115" t="s">
        <v>204</v>
      </c>
      <c r="D103" s="108" t="s">
        <v>90</v>
      </c>
      <c r="E103" s="110">
        <v>289</v>
      </c>
      <c r="F103" s="111">
        <f>E103-36</f>
        <v>253</v>
      </c>
      <c r="G103" s="111">
        <f>(F103*70/100)+9</f>
        <v>186.1</v>
      </c>
      <c r="H103" s="111">
        <v>116</v>
      </c>
      <c r="I103" s="113"/>
      <c r="J103" s="105" t="s">
        <v>203</v>
      </c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</row>
    <row r="104" spans="1:29" ht="24" customHeight="1" x14ac:dyDescent="0.55000000000000004">
      <c r="A104" s="114">
        <v>75</v>
      </c>
      <c r="B104" s="108"/>
      <c r="C104" s="115" t="s">
        <v>205</v>
      </c>
      <c r="D104" s="138" t="s">
        <v>77</v>
      </c>
      <c r="E104" s="110">
        <v>175</v>
      </c>
      <c r="F104" s="111">
        <f>E104-44-4</f>
        <v>127</v>
      </c>
      <c r="G104" s="111">
        <f>(F104*70/100)+7</f>
        <v>95.9</v>
      </c>
      <c r="H104" s="111">
        <v>20</v>
      </c>
      <c r="I104" s="113"/>
      <c r="J104" s="105" t="s">
        <v>153</v>
      </c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</row>
    <row r="105" spans="1:29" ht="24" customHeight="1" x14ac:dyDescent="0.55000000000000004">
      <c r="A105" s="114">
        <v>76</v>
      </c>
      <c r="B105" s="108"/>
      <c r="C105" s="115" t="s">
        <v>206</v>
      </c>
      <c r="D105" s="138" t="s">
        <v>77</v>
      </c>
      <c r="E105" s="110">
        <v>19</v>
      </c>
      <c r="F105" s="111">
        <f>E105-2</f>
        <v>17</v>
      </c>
      <c r="G105" s="111">
        <f t="shared" ref="G105:G107" si="28">F105*70/100</f>
        <v>11.9</v>
      </c>
      <c r="H105" s="111">
        <v>9</v>
      </c>
      <c r="I105" s="113"/>
      <c r="J105" s="105" t="s">
        <v>203</v>
      </c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</row>
    <row r="106" spans="1:29" ht="24" customHeight="1" x14ac:dyDescent="0.55000000000000004">
      <c r="A106" s="114">
        <v>77</v>
      </c>
      <c r="B106" s="108"/>
      <c r="C106" s="115" t="s">
        <v>207</v>
      </c>
      <c r="D106" s="138" t="s">
        <v>142</v>
      </c>
      <c r="E106" s="110">
        <v>25</v>
      </c>
      <c r="F106" s="111">
        <f>E106-13</f>
        <v>12</v>
      </c>
      <c r="G106" s="111">
        <f t="shared" si="28"/>
        <v>8.4</v>
      </c>
      <c r="H106" s="111">
        <v>3</v>
      </c>
      <c r="I106" s="113"/>
      <c r="J106" s="105" t="s">
        <v>203</v>
      </c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</row>
    <row r="107" spans="1:29" ht="24" customHeight="1" x14ac:dyDescent="0.55000000000000004">
      <c r="A107" s="114">
        <v>78</v>
      </c>
      <c r="B107" s="108"/>
      <c r="C107" s="115" t="s">
        <v>208</v>
      </c>
      <c r="D107" s="138" t="s">
        <v>85</v>
      </c>
      <c r="E107" s="110">
        <v>21</v>
      </c>
      <c r="F107" s="111">
        <f>E107-1-4-2-2</f>
        <v>12</v>
      </c>
      <c r="G107" s="111">
        <f t="shared" si="28"/>
        <v>8.4</v>
      </c>
      <c r="H107" s="111">
        <v>1</v>
      </c>
      <c r="I107" s="113"/>
      <c r="J107" s="105" t="s">
        <v>91</v>
      </c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</row>
    <row r="108" spans="1:29" ht="24" customHeight="1" x14ac:dyDescent="0.55000000000000004">
      <c r="A108" s="114"/>
      <c r="B108" s="205" t="s">
        <v>114</v>
      </c>
      <c r="C108" s="205"/>
      <c r="D108" s="206"/>
      <c r="E108" s="207">
        <f t="shared" ref="E108:H108" si="29">SUM(E102:E107)</f>
        <v>707</v>
      </c>
      <c r="F108" s="208">
        <f t="shared" si="29"/>
        <v>577</v>
      </c>
      <c r="G108" s="208">
        <f t="shared" si="29"/>
        <v>426.9</v>
      </c>
      <c r="H108" s="208">
        <f t="shared" si="29"/>
        <v>217</v>
      </c>
      <c r="I108" s="209">
        <f>H108*100/G108</f>
        <v>50.83157648161162</v>
      </c>
      <c r="J108" s="105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</row>
    <row r="109" spans="1:29" ht="24" customHeight="1" x14ac:dyDescent="0.55000000000000004">
      <c r="A109" s="121"/>
      <c r="B109" s="122" t="s">
        <v>209</v>
      </c>
      <c r="C109" s="123"/>
      <c r="D109" s="144"/>
      <c r="E109" s="104"/>
      <c r="F109" s="125"/>
      <c r="G109" s="125"/>
      <c r="H109" s="125"/>
      <c r="I109" s="104"/>
      <c r="J109" s="105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</row>
    <row r="110" spans="1:29" ht="24" customHeight="1" x14ac:dyDescent="0.55000000000000004">
      <c r="A110" s="210">
        <v>79</v>
      </c>
      <c r="B110" s="108" t="s">
        <v>210</v>
      </c>
      <c r="C110" s="115" t="s">
        <v>63</v>
      </c>
      <c r="D110" s="138" t="s">
        <v>77</v>
      </c>
      <c r="E110" s="157">
        <v>754</v>
      </c>
      <c r="F110" s="211">
        <f>E110-71-32-56</f>
        <v>595</v>
      </c>
      <c r="G110" s="145">
        <f>(F110*70/100)+1</f>
        <v>417.5</v>
      </c>
      <c r="H110" s="211">
        <v>446</v>
      </c>
      <c r="I110" s="157"/>
      <c r="J110" s="105" t="s">
        <v>91</v>
      </c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</row>
    <row r="111" spans="1:29" ht="24" customHeight="1" x14ac:dyDescent="0.55000000000000004">
      <c r="A111" s="210">
        <v>80</v>
      </c>
      <c r="B111" s="108" t="s">
        <v>211</v>
      </c>
      <c r="C111" s="115" t="s">
        <v>212</v>
      </c>
      <c r="D111" s="115" t="s">
        <v>213</v>
      </c>
      <c r="E111" s="157">
        <v>31</v>
      </c>
      <c r="F111" s="211">
        <f>E111-9</f>
        <v>22</v>
      </c>
      <c r="G111" s="145">
        <f t="shared" ref="G111:G112" si="30">F111*70/100</f>
        <v>15.4</v>
      </c>
      <c r="H111" s="211"/>
      <c r="I111" s="157"/>
      <c r="J111" s="105" t="s">
        <v>91</v>
      </c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</row>
    <row r="112" spans="1:29" ht="24" customHeight="1" x14ac:dyDescent="0.55000000000000004">
      <c r="A112" s="210">
        <v>81</v>
      </c>
      <c r="B112" s="108"/>
      <c r="C112" s="115" t="s">
        <v>214</v>
      </c>
      <c r="D112" s="115" t="s">
        <v>215</v>
      </c>
      <c r="E112" s="157">
        <v>16</v>
      </c>
      <c r="F112" s="211">
        <f>E112-6</f>
        <v>10</v>
      </c>
      <c r="G112" s="145">
        <f t="shared" si="30"/>
        <v>7</v>
      </c>
      <c r="H112" s="211">
        <f>1+3</f>
        <v>4</v>
      </c>
      <c r="I112" s="157"/>
      <c r="J112" s="105" t="s">
        <v>91</v>
      </c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</row>
    <row r="113" spans="1:29" ht="24" customHeight="1" x14ac:dyDescent="0.55000000000000004">
      <c r="A113" s="114"/>
      <c r="B113" s="158" t="s">
        <v>114</v>
      </c>
      <c r="C113" s="158"/>
      <c r="D113" s="159"/>
      <c r="E113" s="160">
        <f t="shared" ref="E113:H113" si="31">SUM(E110:E112)</f>
        <v>801</v>
      </c>
      <c r="F113" s="161">
        <f t="shared" si="31"/>
        <v>627</v>
      </c>
      <c r="G113" s="212">
        <f t="shared" si="31"/>
        <v>439.9</v>
      </c>
      <c r="H113" s="213">
        <f t="shared" si="31"/>
        <v>450</v>
      </c>
      <c r="I113" s="214">
        <f t="shared" ref="I113:I114" si="32">H113*100/G113</f>
        <v>102.29597635826325</v>
      </c>
      <c r="J113" s="215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</row>
    <row r="114" spans="1:29" ht="24" customHeight="1" thickBot="1" x14ac:dyDescent="0.6">
      <c r="A114" s="216"/>
      <c r="B114" s="217" t="s">
        <v>216</v>
      </c>
      <c r="C114" s="218"/>
      <c r="D114" s="219"/>
      <c r="E114" s="220">
        <f t="shared" ref="E114:G114" si="33">E13+E30+E39+E50+E62+E70+E77+E80+E86+E91+E94+E100+E108+E113</f>
        <v>7770</v>
      </c>
      <c r="F114" s="220">
        <f t="shared" si="33"/>
        <v>6046</v>
      </c>
      <c r="G114" s="220">
        <f t="shared" si="33"/>
        <v>4300.2</v>
      </c>
      <c r="H114" s="221">
        <f>SUM(H13,H30,H39,H50,H62,H70,H77,H80,H86,H91,H94,H100,H108,H113)</f>
        <v>3649</v>
      </c>
      <c r="I114" s="222">
        <f t="shared" si="32"/>
        <v>84.856518301474352</v>
      </c>
      <c r="J114" s="215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</row>
    <row r="115" spans="1:29" ht="24" customHeight="1" thickTop="1" x14ac:dyDescent="0.55000000000000004">
      <c r="A115" s="223"/>
      <c r="B115" s="7"/>
      <c r="C115" s="7"/>
      <c r="D115" s="7"/>
      <c r="E115" s="224"/>
      <c r="F115" s="224"/>
      <c r="G115" s="224"/>
      <c r="H115" s="224"/>
      <c r="I115" s="224"/>
      <c r="J115" s="215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</row>
    <row r="116" spans="1:29" ht="24" customHeight="1" x14ac:dyDescent="0.55000000000000004">
      <c r="A116" s="223"/>
      <c r="B116" s="225" t="s">
        <v>217</v>
      </c>
      <c r="C116" s="225"/>
      <c r="D116" s="226"/>
      <c r="E116" s="224"/>
      <c r="F116" s="224"/>
      <c r="G116" s="224"/>
      <c r="H116" s="224"/>
      <c r="I116" s="224"/>
      <c r="J116" s="215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</row>
    <row r="117" spans="1:29" ht="24" customHeight="1" x14ac:dyDescent="0.55000000000000004">
      <c r="A117" s="223"/>
      <c r="B117" s="7"/>
      <c r="C117" s="7"/>
      <c r="D117" s="7"/>
      <c r="E117" s="224"/>
      <c r="F117" s="224"/>
      <c r="G117" s="224"/>
      <c r="H117" s="224"/>
      <c r="I117" s="224"/>
      <c r="J117" s="215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</row>
    <row r="118" spans="1:29" ht="24" customHeight="1" x14ac:dyDescent="0.65">
      <c r="A118" s="223"/>
      <c r="B118" s="227"/>
      <c r="C118" s="7"/>
      <c r="D118" s="7"/>
      <c r="E118" s="224"/>
      <c r="F118" s="224"/>
      <c r="G118" s="224"/>
      <c r="H118" s="224"/>
      <c r="I118" s="224"/>
      <c r="J118" s="215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</row>
    <row r="119" spans="1:29" ht="24" customHeight="1" x14ac:dyDescent="0.55000000000000004">
      <c r="A119" s="223"/>
      <c r="B119" s="7"/>
      <c r="C119" s="228" t="s">
        <v>11</v>
      </c>
      <c r="D119" s="229" t="s">
        <v>73</v>
      </c>
      <c r="E119" s="229" t="s">
        <v>218</v>
      </c>
      <c r="F119" s="229" t="s">
        <v>219</v>
      </c>
      <c r="G119" s="224"/>
      <c r="H119" s="224"/>
      <c r="I119" s="224"/>
      <c r="J119" s="215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</row>
    <row r="120" spans="1:29" ht="24" customHeight="1" x14ac:dyDescent="0.55000000000000004">
      <c r="A120" s="223"/>
      <c r="B120" s="7"/>
      <c r="C120" s="230">
        <v>1.1000000000000001</v>
      </c>
      <c r="D120" s="231" t="s">
        <v>220</v>
      </c>
      <c r="E120" s="232">
        <v>4</v>
      </c>
      <c r="F120" s="232">
        <v>11</v>
      </c>
      <c r="G120" s="224"/>
      <c r="H120" s="224"/>
      <c r="I120" s="224"/>
      <c r="J120" s="215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</row>
    <row r="121" spans="1:29" ht="24" customHeight="1" x14ac:dyDescent="0.55000000000000004">
      <c r="A121" s="223"/>
      <c r="B121" s="7"/>
      <c r="C121" s="230">
        <v>1.2</v>
      </c>
      <c r="D121" s="231" t="s">
        <v>91</v>
      </c>
      <c r="E121" s="232">
        <v>31</v>
      </c>
      <c r="F121" s="232">
        <v>1225</v>
      </c>
      <c r="G121" s="224"/>
      <c r="H121" s="224"/>
      <c r="I121" s="224"/>
      <c r="J121" s="215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</row>
    <row r="122" spans="1:29" ht="24" customHeight="1" x14ac:dyDescent="0.55000000000000004">
      <c r="A122" s="223"/>
      <c r="B122" s="7"/>
      <c r="C122" s="230">
        <v>1.3</v>
      </c>
      <c r="D122" s="231" t="s">
        <v>221</v>
      </c>
      <c r="E122" s="232">
        <v>5</v>
      </c>
      <c r="F122" s="232">
        <v>661</v>
      </c>
      <c r="G122" s="224"/>
      <c r="H122" s="224"/>
      <c r="I122" s="224"/>
      <c r="J122" s="215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</row>
    <row r="123" spans="1:29" ht="24" customHeight="1" x14ac:dyDescent="0.55000000000000004">
      <c r="A123" s="223"/>
      <c r="B123" s="7"/>
      <c r="C123" s="230">
        <v>1.4</v>
      </c>
      <c r="D123" s="231" t="s">
        <v>222</v>
      </c>
      <c r="E123" s="232">
        <v>6</v>
      </c>
      <c r="F123" s="232">
        <v>261</v>
      </c>
      <c r="G123" s="224"/>
      <c r="H123" s="224"/>
      <c r="I123" s="224"/>
      <c r="J123" s="215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</row>
    <row r="124" spans="1:29" ht="24" customHeight="1" x14ac:dyDescent="0.55000000000000004">
      <c r="A124" s="223"/>
      <c r="B124" s="7"/>
      <c r="C124" s="230">
        <v>1.5</v>
      </c>
      <c r="D124" s="231" t="s">
        <v>149</v>
      </c>
      <c r="E124" s="232">
        <v>2</v>
      </c>
      <c r="F124" s="232">
        <v>31</v>
      </c>
      <c r="G124" s="224"/>
      <c r="H124" s="224"/>
      <c r="I124" s="224"/>
      <c r="J124" s="215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</row>
    <row r="125" spans="1:29" ht="24" customHeight="1" x14ac:dyDescent="0.55000000000000004">
      <c r="A125" s="223"/>
      <c r="B125" s="7"/>
      <c r="C125" s="230">
        <v>1.6</v>
      </c>
      <c r="D125" s="231" t="s">
        <v>223</v>
      </c>
      <c r="E125" s="232">
        <v>0</v>
      </c>
      <c r="F125" s="232">
        <v>0</v>
      </c>
      <c r="G125" s="224"/>
      <c r="H125" s="224"/>
      <c r="I125" s="224"/>
      <c r="J125" s="215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</row>
    <row r="126" spans="1:29" ht="24" customHeight="1" x14ac:dyDescent="0.55000000000000004">
      <c r="A126" s="223"/>
      <c r="B126" s="7"/>
      <c r="C126" s="230">
        <v>1.7</v>
      </c>
      <c r="D126" s="231" t="s">
        <v>224</v>
      </c>
      <c r="E126" s="232">
        <v>1</v>
      </c>
      <c r="F126" s="232">
        <v>0</v>
      </c>
      <c r="G126" s="224"/>
      <c r="H126" s="224"/>
      <c r="I126" s="224"/>
      <c r="J126" s="215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</row>
    <row r="127" spans="1:29" ht="24" customHeight="1" x14ac:dyDescent="0.55000000000000004">
      <c r="A127" s="223"/>
      <c r="B127" s="7"/>
      <c r="C127" s="233">
        <v>1.8</v>
      </c>
      <c r="D127" s="234" t="s">
        <v>225</v>
      </c>
      <c r="E127" s="235">
        <v>4</v>
      </c>
      <c r="F127" s="235">
        <v>196</v>
      </c>
      <c r="G127" s="224"/>
      <c r="H127" s="224"/>
      <c r="I127" s="224"/>
      <c r="J127" s="215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</row>
    <row r="128" spans="1:29" ht="24" customHeight="1" x14ac:dyDescent="0.55000000000000004">
      <c r="A128" s="223"/>
      <c r="B128" s="7"/>
      <c r="C128" s="230">
        <v>1.9</v>
      </c>
      <c r="D128" s="231" t="s">
        <v>226</v>
      </c>
      <c r="E128" s="232">
        <v>0</v>
      </c>
      <c r="F128" s="232">
        <v>0</v>
      </c>
      <c r="G128" s="224"/>
      <c r="H128" s="224"/>
      <c r="I128" s="224"/>
      <c r="J128" s="215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</row>
    <row r="129" spans="1:29" ht="24" customHeight="1" x14ac:dyDescent="0.55000000000000004">
      <c r="A129" s="223"/>
      <c r="B129" s="7"/>
      <c r="C129" s="236">
        <v>1.1000000000000001</v>
      </c>
      <c r="D129" s="231" t="s">
        <v>227</v>
      </c>
      <c r="E129" s="232">
        <v>5</v>
      </c>
      <c r="F129" s="232">
        <v>67</v>
      </c>
      <c r="G129" s="224"/>
      <c r="H129" s="224"/>
      <c r="I129" s="224"/>
      <c r="J129" s="215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</row>
    <row r="130" spans="1:29" ht="24" customHeight="1" x14ac:dyDescent="0.55000000000000004">
      <c r="A130" s="223"/>
      <c r="B130" s="7"/>
      <c r="C130" s="230">
        <v>1.1100000000000001</v>
      </c>
      <c r="D130" s="231" t="s">
        <v>228</v>
      </c>
      <c r="E130" s="232">
        <v>0</v>
      </c>
      <c r="F130" s="232">
        <v>0</v>
      </c>
      <c r="G130" s="224"/>
      <c r="H130" s="224"/>
      <c r="I130" s="224"/>
      <c r="J130" s="215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</row>
    <row r="131" spans="1:29" ht="24" customHeight="1" x14ac:dyDescent="0.55000000000000004">
      <c r="A131" s="223"/>
      <c r="B131" s="7"/>
      <c r="C131" s="230">
        <v>1.1200000000000001</v>
      </c>
      <c r="D131" s="231" t="s">
        <v>78</v>
      </c>
      <c r="E131" s="232">
        <v>7</v>
      </c>
      <c r="F131" s="232">
        <v>327</v>
      </c>
      <c r="G131" s="224"/>
      <c r="H131" s="224"/>
      <c r="I131" s="224"/>
      <c r="J131" s="215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</row>
    <row r="132" spans="1:29" ht="24" customHeight="1" x14ac:dyDescent="0.55000000000000004">
      <c r="A132" s="223"/>
      <c r="B132" s="7"/>
      <c r="C132" s="230">
        <v>1</v>
      </c>
      <c r="D132" s="231" t="s">
        <v>229</v>
      </c>
      <c r="E132" s="232">
        <v>65</v>
      </c>
      <c r="F132" s="232">
        <v>2779</v>
      </c>
      <c r="G132" s="224"/>
      <c r="H132" s="224"/>
      <c r="I132" s="224"/>
      <c r="J132" s="215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</row>
    <row r="133" spans="1:29" ht="24" customHeight="1" x14ac:dyDescent="0.55000000000000004">
      <c r="A133" s="223"/>
      <c r="B133" s="7"/>
      <c r="C133" s="230">
        <v>2</v>
      </c>
      <c r="D133" s="231" t="s">
        <v>230</v>
      </c>
      <c r="E133" s="232">
        <v>14</v>
      </c>
      <c r="F133" s="232">
        <v>866</v>
      </c>
      <c r="G133" s="224"/>
      <c r="H133" s="224"/>
      <c r="I133" s="224"/>
      <c r="J133" s="215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</row>
    <row r="134" spans="1:29" ht="24" customHeight="1" x14ac:dyDescent="0.55000000000000004">
      <c r="A134" s="223"/>
      <c r="B134" s="7"/>
      <c r="C134" s="233">
        <v>3</v>
      </c>
      <c r="D134" s="234" t="s">
        <v>106</v>
      </c>
      <c r="E134" s="232">
        <v>2</v>
      </c>
      <c r="F134" s="232">
        <v>4</v>
      </c>
      <c r="G134" s="224"/>
      <c r="H134" s="224"/>
      <c r="I134" s="224"/>
      <c r="J134" s="215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</row>
    <row r="135" spans="1:29" ht="24" customHeight="1" x14ac:dyDescent="0.55000000000000004">
      <c r="A135" s="223"/>
      <c r="B135" s="7"/>
      <c r="C135" s="237"/>
      <c r="D135" s="229" t="s">
        <v>114</v>
      </c>
      <c r="E135" s="229">
        <v>81</v>
      </c>
      <c r="F135" s="229">
        <v>3649</v>
      </c>
      <c r="G135" s="224"/>
      <c r="H135" s="224"/>
      <c r="I135" s="224"/>
      <c r="J135" s="215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</row>
    <row r="136" spans="1:29" ht="24" customHeight="1" x14ac:dyDescent="0.55000000000000004">
      <c r="A136" s="223"/>
      <c r="B136" s="7"/>
      <c r="C136" s="7"/>
      <c r="D136" s="7"/>
      <c r="E136" s="224"/>
      <c r="F136" s="224"/>
      <c r="G136" s="224"/>
      <c r="H136" s="224"/>
      <c r="I136" s="224"/>
      <c r="J136" s="215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</row>
    <row r="137" spans="1:29" ht="24" customHeight="1" x14ac:dyDescent="0.55000000000000004">
      <c r="A137" s="223"/>
      <c r="B137" s="7"/>
      <c r="C137" s="7"/>
      <c r="D137" s="7"/>
      <c r="E137" s="224"/>
      <c r="F137" s="224"/>
      <c r="G137" s="224"/>
      <c r="H137" s="224"/>
      <c r="I137" s="224"/>
      <c r="J137" s="215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</row>
    <row r="138" spans="1:29" ht="24" customHeight="1" x14ac:dyDescent="0.55000000000000004">
      <c r="A138" s="223"/>
      <c r="B138" s="7"/>
      <c r="C138" s="7"/>
      <c r="D138" s="7"/>
      <c r="E138" s="224"/>
      <c r="F138" s="224"/>
      <c r="G138" s="224"/>
      <c r="H138" s="224"/>
      <c r="I138" s="224"/>
      <c r="J138" s="215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</row>
    <row r="139" spans="1:29" ht="24" customHeight="1" x14ac:dyDescent="0.55000000000000004">
      <c r="A139" s="223"/>
      <c r="B139" s="7"/>
      <c r="C139" s="7"/>
      <c r="D139" s="7"/>
      <c r="E139" s="224"/>
      <c r="F139" s="224"/>
      <c r="G139" s="224"/>
      <c r="H139" s="224"/>
      <c r="I139" s="224"/>
      <c r="J139" s="215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</row>
    <row r="140" spans="1:29" ht="24" customHeight="1" x14ac:dyDescent="0.55000000000000004">
      <c r="A140" s="223"/>
      <c r="B140" s="7"/>
      <c r="C140" s="7"/>
      <c r="D140" s="7"/>
      <c r="E140" s="224"/>
      <c r="F140" s="224"/>
      <c r="G140" s="224"/>
      <c r="H140" s="224"/>
      <c r="I140" s="224"/>
      <c r="J140" s="215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</row>
    <row r="141" spans="1:29" ht="24" customHeight="1" x14ac:dyDescent="0.55000000000000004">
      <c r="A141" s="223"/>
      <c r="B141" s="7"/>
      <c r="C141" s="7"/>
      <c r="D141" s="7"/>
      <c r="E141" s="224"/>
      <c r="F141" s="224"/>
      <c r="G141" s="224"/>
      <c r="H141" s="224"/>
      <c r="I141" s="224"/>
      <c r="J141" s="215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</row>
    <row r="142" spans="1:29" ht="24" customHeight="1" x14ac:dyDescent="0.55000000000000004">
      <c r="A142" s="223"/>
      <c r="B142" s="7"/>
      <c r="C142" s="7"/>
      <c r="D142" s="7"/>
      <c r="E142" s="224"/>
      <c r="F142" s="224"/>
      <c r="G142" s="224"/>
      <c r="H142" s="224"/>
      <c r="I142" s="224"/>
      <c r="J142" s="215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</row>
    <row r="143" spans="1:29" ht="24" customHeight="1" x14ac:dyDescent="0.55000000000000004">
      <c r="A143" s="223"/>
      <c r="B143" s="7"/>
      <c r="C143" s="7"/>
      <c r="D143" s="7"/>
      <c r="E143" s="224"/>
      <c r="F143" s="224"/>
      <c r="G143" s="224"/>
      <c r="H143" s="224"/>
      <c r="I143" s="224"/>
      <c r="J143" s="215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</row>
    <row r="144" spans="1:29" ht="24" customHeight="1" x14ac:dyDescent="0.55000000000000004">
      <c r="A144" s="223"/>
      <c r="B144" s="7"/>
      <c r="C144" s="7"/>
      <c r="D144" s="7"/>
      <c r="E144" s="224"/>
      <c r="F144" s="224"/>
      <c r="G144" s="224"/>
      <c r="H144" s="224"/>
      <c r="I144" s="224"/>
      <c r="J144" s="215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</row>
    <row r="145" spans="1:29" ht="24" customHeight="1" x14ac:dyDescent="0.55000000000000004">
      <c r="A145" s="223"/>
      <c r="B145" s="7"/>
      <c r="C145" s="7"/>
      <c r="D145" s="7"/>
      <c r="E145" s="224"/>
      <c r="F145" s="224"/>
      <c r="G145" s="224"/>
      <c r="H145" s="224"/>
      <c r="I145" s="224"/>
      <c r="J145" s="215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</row>
    <row r="146" spans="1:29" ht="24" customHeight="1" x14ac:dyDescent="0.55000000000000004">
      <c r="A146" s="223"/>
      <c r="B146" s="7"/>
      <c r="C146" s="7"/>
      <c r="D146" s="7"/>
      <c r="E146" s="224"/>
      <c r="F146" s="224"/>
      <c r="G146" s="224"/>
      <c r="H146" s="224"/>
      <c r="I146" s="224"/>
      <c r="J146" s="215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</row>
    <row r="147" spans="1:29" ht="24" customHeight="1" x14ac:dyDescent="0.55000000000000004">
      <c r="A147" s="223"/>
      <c r="B147" s="7"/>
      <c r="C147" s="7"/>
      <c r="D147" s="7"/>
      <c r="E147" s="224"/>
      <c r="F147" s="224"/>
      <c r="G147" s="224"/>
      <c r="H147" s="224"/>
      <c r="I147" s="224"/>
      <c r="J147" s="215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</row>
    <row r="148" spans="1:29" ht="24" customHeight="1" x14ac:dyDescent="0.55000000000000004">
      <c r="A148" s="223"/>
      <c r="B148" s="7"/>
      <c r="C148" s="7"/>
      <c r="D148" s="7"/>
      <c r="E148" s="224"/>
      <c r="F148" s="224"/>
      <c r="G148" s="224"/>
      <c r="H148" s="224"/>
      <c r="I148" s="224"/>
      <c r="J148" s="215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</row>
    <row r="149" spans="1:29" ht="24" customHeight="1" x14ac:dyDescent="0.55000000000000004">
      <c r="A149" s="223"/>
      <c r="B149" s="7"/>
      <c r="C149" s="7"/>
      <c r="D149" s="7"/>
      <c r="E149" s="224"/>
      <c r="F149" s="224"/>
      <c r="G149" s="224"/>
      <c r="H149" s="224"/>
      <c r="I149" s="224"/>
      <c r="J149" s="215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</row>
    <row r="150" spans="1:29" ht="24" customHeight="1" x14ac:dyDescent="0.55000000000000004">
      <c r="A150" s="223"/>
      <c r="B150" s="7"/>
      <c r="C150" s="7"/>
      <c r="D150" s="7"/>
      <c r="E150" s="224"/>
      <c r="F150" s="224"/>
      <c r="G150" s="224"/>
      <c r="H150" s="224"/>
      <c r="I150" s="224"/>
      <c r="J150" s="215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</row>
    <row r="151" spans="1:29" ht="24" customHeight="1" x14ac:dyDescent="0.55000000000000004">
      <c r="A151" s="223"/>
      <c r="B151" s="7"/>
      <c r="C151" s="7"/>
      <c r="D151" s="7"/>
      <c r="E151" s="224"/>
      <c r="F151" s="224"/>
      <c r="G151" s="224"/>
      <c r="H151" s="224"/>
      <c r="I151" s="224"/>
      <c r="J151" s="215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</row>
    <row r="152" spans="1:29" ht="24" customHeight="1" x14ac:dyDescent="0.55000000000000004">
      <c r="A152" s="223"/>
      <c r="B152" s="7"/>
      <c r="C152" s="7"/>
      <c r="D152" s="7"/>
      <c r="E152" s="224"/>
      <c r="F152" s="224"/>
      <c r="G152" s="224"/>
      <c r="H152" s="224"/>
      <c r="I152" s="224"/>
      <c r="J152" s="215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</row>
    <row r="153" spans="1:29" ht="24" customHeight="1" x14ac:dyDescent="0.55000000000000004">
      <c r="A153" s="223"/>
      <c r="B153" s="7"/>
      <c r="C153" s="7"/>
      <c r="D153" s="7"/>
      <c r="E153" s="224"/>
      <c r="F153" s="224"/>
      <c r="G153" s="224"/>
      <c r="H153" s="224"/>
      <c r="I153" s="224"/>
      <c r="J153" s="215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</row>
    <row r="154" spans="1:29" ht="24" customHeight="1" x14ac:dyDescent="0.55000000000000004">
      <c r="A154" s="223"/>
      <c r="B154" s="7"/>
      <c r="C154" s="7"/>
      <c r="D154" s="7"/>
      <c r="E154" s="224"/>
      <c r="F154" s="224"/>
      <c r="G154" s="224"/>
      <c r="H154" s="224"/>
      <c r="I154" s="224"/>
      <c r="J154" s="215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</row>
    <row r="155" spans="1:29" ht="24" customHeight="1" x14ac:dyDescent="0.55000000000000004">
      <c r="A155" s="223"/>
      <c r="B155" s="7"/>
      <c r="C155" s="7"/>
      <c r="D155" s="7"/>
      <c r="E155" s="224"/>
      <c r="F155" s="224"/>
      <c r="G155" s="224"/>
      <c r="H155" s="224"/>
      <c r="I155" s="224"/>
      <c r="J155" s="215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</row>
    <row r="156" spans="1:29" ht="24" customHeight="1" x14ac:dyDescent="0.55000000000000004">
      <c r="A156" s="223"/>
      <c r="B156" s="7"/>
      <c r="C156" s="7"/>
      <c r="D156" s="7"/>
      <c r="E156" s="224"/>
      <c r="F156" s="224"/>
      <c r="G156" s="224"/>
      <c r="H156" s="224"/>
      <c r="I156" s="224"/>
      <c r="J156" s="215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</row>
    <row r="157" spans="1:29" ht="24" customHeight="1" x14ac:dyDescent="0.55000000000000004">
      <c r="A157" s="223"/>
      <c r="B157" s="7"/>
      <c r="C157" s="7"/>
      <c r="D157" s="7"/>
      <c r="E157" s="224"/>
      <c r="F157" s="224"/>
      <c r="G157" s="224"/>
      <c r="H157" s="224"/>
      <c r="I157" s="224"/>
      <c r="J157" s="215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</row>
    <row r="158" spans="1:29" ht="24" customHeight="1" x14ac:dyDescent="0.55000000000000004">
      <c r="A158" s="223"/>
      <c r="B158" s="7"/>
      <c r="C158" s="7"/>
      <c r="D158" s="7"/>
      <c r="E158" s="224"/>
      <c r="F158" s="224"/>
      <c r="G158" s="224"/>
      <c r="H158" s="224"/>
      <c r="I158" s="224"/>
      <c r="J158" s="215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</row>
    <row r="159" spans="1:29" ht="24" customHeight="1" x14ac:dyDescent="0.55000000000000004">
      <c r="A159" s="223"/>
      <c r="B159" s="7"/>
      <c r="C159" s="7"/>
      <c r="D159" s="7"/>
      <c r="E159" s="224"/>
      <c r="F159" s="224"/>
      <c r="G159" s="224"/>
      <c r="H159" s="224"/>
      <c r="I159" s="224"/>
      <c r="J159" s="215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</row>
    <row r="160" spans="1:29" ht="24" customHeight="1" x14ac:dyDescent="0.55000000000000004">
      <c r="A160" s="223"/>
      <c r="B160" s="7"/>
      <c r="C160" s="7"/>
      <c r="D160" s="7"/>
      <c r="E160" s="224"/>
      <c r="F160" s="224"/>
      <c r="G160" s="224"/>
      <c r="H160" s="224"/>
      <c r="I160" s="224"/>
      <c r="J160" s="215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</row>
    <row r="161" spans="1:29" ht="24" customHeight="1" x14ac:dyDescent="0.55000000000000004">
      <c r="A161" s="223"/>
      <c r="B161" s="7"/>
      <c r="C161" s="7"/>
      <c r="D161" s="7"/>
      <c r="E161" s="224"/>
      <c r="F161" s="224"/>
      <c r="G161" s="224"/>
      <c r="H161" s="224"/>
      <c r="I161" s="224"/>
      <c r="J161" s="215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</row>
    <row r="162" spans="1:29" ht="24" customHeight="1" x14ac:dyDescent="0.55000000000000004">
      <c r="A162" s="223"/>
      <c r="B162" s="7"/>
      <c r="C162" s="7"/>
      <c r="D162" s="7"/>
      <c r="E162" s="224"/>
      <c r="F162" s="224"/>
      <c r="G162" s="224"/>
      <c r="H162" s="224"/>
      <c r="I162" s="224"/>
      <c r="J162" s="215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</row>
    <row r="163" spans="1:29" ht="24" customHeight="1" x14ac:dyDescent="0.55000000000000004">
      <c r="A163" s="223"/>
      <c r="B163" s="7"/>
      <c r="C163" s="7"/>
      <c r="D163" s="7"/>
      <c r="E163" s="224"/>
      <c r="F163" s="224"/>
      <c r="G163" s="224"/>
      <c r="H163" s="224"/>
      <c r="I163" s="224"/>
      <c r="J163" s="215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</row>
    <row r="164" spans="1:29" ht="24" customHeight="1" x14ac:dyDescent="0.55000000000000004">
      <c r="A164" s="223"/>
      <c r="B164" s="7"/>
      <c r="C164" s="7"/>
      <c r="D164" s="7"/>
      <c r="E164" s="224"/>
      <c r="F164" s="224"/>
      <c r="G164" s="224"/>
      <c r="H164" s="224"/>
      <c r="I164" s="224"/>
      <c r="J164" s="215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</row>
    <row r="165" spans="1:29" ht="24" customHeight="1" x14ac:dyDescent="0.55000000000000004">
      <c r="A165" s="223"/>
      <c r="B165" s="7"/>
      <c r="C165" s="7"/>
      <c r="D165" s="7"/>
      <c r="E165" s="224"/>
      <c r="F165" s="224"/>
      <c r="G165" s="224"/>
      <c r="H165" s="224"/>
      <c r="I165" s="224"/>
      <c r="J165" s="215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</row>
    <row r="166" spans="1:29" ht="24" customHeight="1" x14ac:dyDescent="0.55000000000000004">
      <c r="A166" s="223"/>
      <c r="B166" s="7"/>
      <c r="C166" s="7"/>
      <c r="D166" s="7"/>
      <c r="E166" s="224"/>
      <c r="F166" s="224"/>
      <c r="G166" s="224"/>
      <c r="H166" s="224"/>
      <c r="I166" s="224"/>
      <c r="J166" s="215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</row>
    <row r="167" spans="1:29" ht="24" customHeight="1" x14ac:dyDescent="0.55000000000000004">
      <c r="A167" s="223"/>
      <c r="B167" s="7"/>
      <c r="C167" s="7"/>
      <c r="D167" s="7"/>
      <c r="E167" s="224"/>
      <c r="F167" s="224"/>
      <c r="G167" s="224"/>
      <c r="H167" s="224"/>
      <c r="I167" s="224"/>
      <c r="J167" s="215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</row>
    <row r="168" spans="1:29" ht="24" customHeight="1" x14ac:dyDescent="0.55000000000000004">
      <c r="A168" s="223"/>
      <c r="B168" s="7"/>
      <c r="C168" s="7"/>
      <c r="D168" s="7"/>
      <c r="E168" s="224"/>
      <c r="F168" s="224"/>
      <c r="G168" s="224"/>
      <c r="H168" s="224"/>
      <c r="I168" s="224"/>
      <c r="J168" s="215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</row>
    <row r="169" spans="1:29" ht="24" customHeight="1" x14ac:dyDescent="0.55000000000000004">
      <c r="A169" s="223"/>
      <c r="B169" s="7"/>
      <c r="C169" s="7"/>
      <c r="D169" s="7"/>
      <c r="E169" s="224"/>
      <c r="F169" s="224"/>
      <c r="G169" s="224"/>
      <c r="H169" s="224"/>
      <c r="I169" s="224"/>
      <c r="J169" s="215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</row>
    <row r="170" spans="1:29" ht="24" customHeight="1" x14ac:dyDescent="0.55000000000000004">
      <c r="A170" s="223"/>
      <c r="B170" s="7"/>
      <c r="C170" s="7"/>
      <c r="D170" s="7"/>
      <c r="E170" s="224"/>
      <c r="F170" s="224"/>
      <c r="G170" s="224"/>
      <c r="H170" s="224"/>
      <c r="I170" s="224"/>
      <c r="J170" s="215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</row>
    <row r="171" spans="1:29" ht="24" customHeight="1" x14ac:dyDescent="0.55000000000000004">
      <c r="A171" s="223"/>
      <c r="B171" s="7"/>
      <c r="C171" s="7"/>
      <c r="D171" s="7"/>
      <c r="E171" s="224"/>
      <c r="F171" s="224"/>
      <c r="G171" s="224"/>
      <c r="H171" s="224"/>
      <c r="I171" s="224"/>
      <c r="J171" s="215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</row>
    <row r="172" spans="1:29" ht="24" customHeight="1" x14ac:dyDescent="0.55000000000000004">
      <c r="A172" s="223"/>
      <c r="B172" s="7"/>
      <c r="C172" s="7"/>
      <c r="D172" s="7"/>
      <c r="E172" s="224"/>
      <c r="F172" s="224"/>
      <c r="G172" s="224"/>
      <c r="H172" s="224"/>
      <c r="I172" s="224"/>
      <c r="J172" s="215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</row>
    <row r="173" spans="1:29" ht="24" customHeight="1" x14ac:dyDescent="0.55000000000000004">
      <c r="A173" s="223"/>
      <c r="B173" s="7"/>
      <c r="C173" s="7"/>
      <c r="D173" s="7"/>
      <c r="E173" s="224"/>
      <c r="F173" s="224"/>
      <c r="G173" s="224"/>
      <c r="H173" s="224"/>
      <c r="I173" s="224"/>
      <c r="J173" s="215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</row>
    <row r="174" spans="1:29" ht="24" customHeight="1" x14ac:dyDescent="0.55000000000000004">
      <c r="A174" s="223"/>
      <c r="B174" s="7"/>
      <c r="C174" s="7"/>
      <c r="D174" s="7"/>
      <c r="E174" s="224"/>
      <c r="F174" s="224"/>
      <c r="G174" s="224"/>
      <c r="H174" s="224"/>
      <c r="I174" s="224"/>
      <c r="J174" s="215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</row>
    <row r="175" spans="1:29" ht="24" customHeight="1" x14ac:dyDescent="0.55000000000000004">
      <c r="A175" s="223"/>
      <c r="B175" s="7"/>
      <c r="C175" s="7"/>
      <c r="D175" s="7"/>
      <c r="E175" s="224"/>
      <c r="F175" s="224"/>
      <c r="G175" s="224"/>
      <c r="H175" s="224"/>
      <c r="I175" s="224"/>
      <c r="J175" s="215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</row>
    <row r="176" spans="1:29" ht="24" customHeight="1" x14ac:dyDescent="0.55000000000000004">
      <c r="A176" s="223"/>
      <c r="B176" s="7"/>
      <c r="C176" s="7"/>
      <c r="D176" s="7"/>
      <c r="E176" s="224"/>
      <c r="F176" s="224"/>
      <c r="G176" s="224"/>
      <c r="H176" s="224"/>
      <c r="I176" s="224"/>
      <c r="J176" s="215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</row>
    <row r="177" spans="1:29" ht="24" customHeight="1" x14ac:dyDescent="0.55000000000000004">
      <c r="A177" s="223"/>
      <c r="B177" s="7"/>
      <c r="C177" s="7"/>
      <c r="D177" s="7"/>
      <c r="E177" s="224"/>
      <c r="F177" s="224"/>
      <c r="G177" s="224"/>
      <c r="H177" s="224"/>
      <c r="I177" s="224"/>
      <c r="J177" s="215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</row>
    <row r="178" spans="1:29" ht="24" customHeight="1" x14ac:dyDescent="0.55000000000000004">
      <c r="A178" s="223"/>
      <c r="B178" s="7"/>
      <c r="C178" s="7"/>
      <c r="D178" s="7"/>
      <c r="E178" s="224"/>
      <c r="F178" s="224"/>
      <c r="G178" s="224"/>
      <c r="H178" s="224"/>
      <c r="I178" s="224"/>
      <c r="J178" s="215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</row>
    <row r="179" spans="1:29" ht="24" customHeight="1" x14ac:dyDescent="0.55000000000000004">
      <c r="A179" s="223"/>
      <c r="B179" s="7"/>
      <c r="C179" s="7"/>
      <c r="D179" s="7"/>
      <c r="E179" s="224"/>
      <c r="F179" s="224"/>
      <c r="G179" s="224"/>
      <c r="H179" s="224"/>
      <c r="I179" s="224"/>
      <c r="J179" s="215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</row>
    <row r="180" spans="1:29" ht="24" customHeight="1" x14ac:dyDescent="0.55000000000000004">
      <c r="A180" s="223"/>
      <c r="B180" s="7"/>
      <c r="C180" s="7"/>
      <c r="D180" s="7"/>
      <c r="E180" s="224"/>
      <c r="F180" s="224"/>
      <c r="G180" s="224"/>
      <c r="H180" s="224"/>
      <c r="I180" s="224"/>
      <c r="J180" s="215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</row>
    <row r="181" spans="1:29" ht="24" customHeight="1" x14ac:dyDescent="0.55000000000000004">
      <c r="A181" s="223"/>
      <c r="B181" s="7"/>
      <c r="C181" s="7"/>
      <c r="D181" s="7"/>
      <c r="E181" s="224"/>
      <c r="F181" s="224"/>
      <c r="G181" s="224"/>
      <c r="H181" s="224"/>
      <c r="I181" s="224"/>
      <c r="J181" s="215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</row>
    <row r="182" spans="1:29" ht="24" customHeight="1" x14ac:dyDescent="0.55000000000000004">
      <c r="A182" s="223"/>
      <c r="B182" s="7"/>
      <c r="C182" s="7"/>
      <c r="D182" s="7"/>
      <c r="E182" s="224"/>
      <c r="F182" s="224"/>
      <c r="G182" s="224"/>
      <c r="H182" s="224"/>
      <c r="I182" s="224"/>
      <c r="J182" s="215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</row>
    <row r="183" spans="1:29" ht="24" customHeight="1" x14ac:dyDescent="0.55000000000000004">
      <c r="A183" s="223"/>
      <c r="B183" s="7"/>
      <c r="C183" s="7"/>
      <c r="D183" s="7"/>
      <c r="E183" s="224"/>
      <c r="F183" s="224"/>
      <c r="G183" s="224"/>
      <c r="H183" s="224"/>
      <c r="I183" s="224"/>
      <c r="J183" s="215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</row>
    <row r="184" spans="1:29" ht="24" customHeight="1" x14ac:dyDescent="0.55000000000000004">
      <c r="A184" s="223"/>
      <c r="B184" s="7"/>
      <c r="C184" s="7"/>
      <c r="D184" s="7"/>
      <c r="E184" s="224"/>
      <c r="F184" s="224"/>
      <c r="G184" s="224"/>
      <c r="H184" s="224"/>
      <c r="I184" s="224"/>
      <c r="J184" s="215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</row>
    <row r="185" spans="1:29" ht="24" customHeight="1" x14ac:dyDescent="0.55000000000000004">
      <c r="A185" s="223"/>
      <c r="B185" s="7"/>
      <c r="C185" s="7"/>
      <c r="D185" s="7"/>
      <c r="E185" s="224"/>
      <c r="F185" s="224"/>
      <c r="G185" s="224"/>
      <c r="H185" s="224"/>
      <c r="I185" s="224"/>
      <c r="J185" s="215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</row>
    <row r="186" spans="1:29" ht="24" customHeight="1" x14ac:dyDescent="0.55000000000000004">
      <c r="A186" s="223"/>
      <c r="B186" s="7"/>
      <c r="C186" s="7"/>
      <c r="D186" s="7"/>
      <c r="E186" s="224"/>
      <c r="F186" s="224"/>
      <c r="G186" s="224"/>
      <c r="H186" s="224"/>
      <c r="I186" s="224"/>
      <c r="J186" s="215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</row>
    <row r="187" spans="1:29" ht="24" customHeight="1" x14ac:dyDescent="0.55000000000000004">
      <c r="A187" s="223"/>
      <c r="B187" s="7"/>
      <c r="C187" s="7"/>
      <c r="D187" s="7"/>
      <c r="E187" s="224"/>
      <c r="F187" s="224"/>
      <c r="G187" s="224"/>
      <c r="H187" s="224"/>
      <c r="I187" s="224"/>
      <c r="J187" s="215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</row>
    <row r="188" spans="1:29" ht="24" customHeight="1" x14ac:dyDescent="0.55000000000000004">
      <c r="A188" s="223"/>
      <c r="B188" s="7"/>
      <c r="C188" s="7"/>
      <c r="D188" s="7"/>
      <c r="E188" s="224"/>
      <c r="F188" s="224"/>
      <c r="G188" s="224"/>
      <c r="H188" s="224"/>
      <c r="I188" s="224"/>
      <c r="J188" s="215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</row>
    <row r="189" spans="1:29" ht="24" customHeight="1" x14ac:dyDescent="0.55000000000000004">
      <c r="A189" s="223"/>
      <c r="B189" s="7"/>
      <c r="C189" s="7"/>
      <c r="D189" s="7"/>
      <c r="E189" s="224"/>
      <c r="F189" s="224"/>
      <c r="G189" s="224"/>
      <c r="H189" s="224"/>
      <c r="I189" s="224"/>
      <c r="J189" s="215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</row>
    <row r="190" spans="1:29" ht="24" customHeight="1" x14ac:dyDescent="0.55000000000000004">
      <c r="A190" s="223"/>
      <c r="B190" s="7"/>
      <c r="C190" s="7"/>
      <c r="D190" s="7"/>
      <c r="E190" s="224"/>
      <c r="F190" s="224"/>
      <c r="G190" s="224"/>
      <c r="H190" s="224"/>
      <c r="I190" s="224"/>
      <c r="J190" s="215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</row>
    <row r="191" spans="1:29" ht="24" customHeight="1" x14ac:dyDescent="0.55000000000000004">
      <c r="A191" s="223"/>
      <c r="B191" s="7"/>
      <c r="C191" s="7"/>
      <c r="D191" s="7"/>
      <c r="E191" s="224"/>
      <c r="F191" s="224"/>
      <c r="G191" s="224"/>
      <c r="H191" s="224"/>
      <c r="I191" s="224"/>
      <c r="J191" s="215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</row>
    <row r="192" spans="1:29" ht="24" customHeight="1" x14ac:dyDescent="0.55000000000000004">
      <c r="A192" s="223"/>
      <c r="B192" s="7"/>
      <c r="C192" s="7"/>
      <c r="D192" s="7"/>
      <c r="E192" s="224"/>
      <c r="F192" s="224"/>
      <c r="G192" s="224"/>
      <c r="H192" s="224"/>
      <c r="I192" s="224"/>
      <c r="J192" s="215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</row>
    <row r="193" spans="1:29" ht="24" customHeight="1" x14ac:dyDescent="0.55000000000000004">
      <c r="A193" s="223"/>
      <c r="B193" s="7"/>
      <c r="C193" s="7"/>
      <c r="D193" s="7"/>
      <c r="E193" s="224"/>
      <c r="F193" s="224"/>
      <c r="G193" s="224"/>
      <c r="H193" s="224"/>
      <c r="I193" s="224"/>
      <c r="J193" s="215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</row>
    <row r="194" spans="1:29" ht="24" customHeight="1" x14ac:dyDescent="0.55000000000000004">
      <c r="A194" s="223"/>
      <c r="B194" s="7"/>
      <c r="C194" s="7"/>
      <c r="D194" s="7"/>
      <c r="E194" s="224"/>
      <c r="F194" s="224"/>
      <c r="G194" s="224"/>
      <c r="H194" s="224"/>
      <c r="I194" s="224"/>
      <c r="J194" s="215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</row>
    <row r="195" spans="1:29" ht="24" customHeight="1" x14ac:dyDescent="0.55000000000000004">
      <c r="A195" s="223"/>
      <c r="B195" s="7"/>
      <c r="C195" s="7"/>
      <c r="D195" s="7"/>
      <c r="E195" s="224"/>
      <c r="F195" s="224"/>
      <c r="G195" s="224"/>
      <c r="H195" s="224"/>
      <c r="I195" s="224"/>
      <c r="J195" s="215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</row>
    <row r="196" spans="1:29" ht="24" customHeight="1" x14ac:dyDescent="0.55000000000000004">
      <c r="A196" s="223"/>
      <c r="B196" s="7"/>
      <c r="C196" s="7"/>
      <c r="D196" s="7"/>
      <c r="E196" s="224"/>
      <c r="F196" s="224"/>
      <c r="G196" s="224"/>
      <c r="H196" s="224"/>
      <c r="I196" s="224"/>
      <c r="J196" s="215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</row>
    <row r="197" spans="1:29" ht="24" customHeight="1" x14ac:dyDescent="0.55000000000000004">
      <c r="A197" s="223"/>
      <c r="B197" s="7"/>
      <c r="C197" s="7"/>
      <c r="D197" s="7"/>
      <c r="E197" s="224"/>
      <c r="F197" s="224"/>
      <c r="G197" s="224"/>
      <c r="H197" s="224"/>
      <c r="I197" s="224"/>
      <c r="J197" s="215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</row>
    <row r="198" spans="1:29" ht="24" customHeight="1" x14ac:dyDescent="0.55000000000000004">
      <c r="A198" s="223"/>
      <c r="B198" s="7"/>
      <c r="C198" s="7"/>
      <c r="D198" s="7"/>
      <c r="E198" s="224"/>
      <c r="F198" s="224"/>
      <c r="G198" s="224"/>
      <c r="H198" s="224"/>
      <c r="I198" s="224"/>
      <c r="J198" s="215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</row>
    <row r="199" spans="1:29" ht="24" customHeight="1" x14ac:dyDescent="0.55000000000000004">
      <c r="A199" s="223"/>
      <c r="B199" s="7"/>
      <c r="C199" s="7"/>
      <c r="D199" s="7"/>
      <c r="E199" s="224"/>
      <c r="F199" s="224"/>
      <c r="G199" s="224"/>
      <c r="H199" s="224"/>
      <c r="I199" s="224"/>
      <c r="J199" s="215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</row>
    <row r="200" spans="1:29" ht="24" customHeight="1" x14ac:dyDescent="0.55000000000000004">
      <c r="A200" s="223"/>
      <c r="B200" s="7"/>
      <c r="C200" s="7"/>
      <c r="D200" s="7"/>
      <c r="E200" s="224"/>
      <c r="F200" s="224"/>
      <c r="G200" s="224"/>
      <c r="H200" s="224"/>
      <c r="I200" s="224"/>
      <c r="J200" s="215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</row>
    <row r="201" spans="1:29" ht="24" customHeight="1" x14ac:dyDescent="0.55000000000000004">
      <c r="A201" s="223"/>
      <c r="B201" s="7"/>
      <c r="C201" s="7"/>
      <c r="D201" s="7"/>
      <c r="E201" s="224"/>
      <c r="F201" s="224"/>
      <c r="G201" s="224"/>
      <c r="H201" s="224"/>
      <c r="I201" s="224"/>
      <c r="J201" s="215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</row>
    <row r="202" spans="1:29" ht="24" customHeight="1" x14ac:dyDescent="0.55000000000000004">
      <c r="A202" s="223"/>
      <c r="B202" s="7"/>
      <c r="C202" s="7"/>
      <c r="D202" s="7"/>
      <c r="E202" s="224"/>
      <c r="F202" s="224"/>
      <c r="G202" s="224"/>
      <c r="H202" s="224"/>
      <c r="I202" s="224"/>
      <c r="J202" s="215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</row>
    <row r="203" spans="1:29" ht="24" customHeight="1" x14ac:dyDescent="0.55000000000000004">
      <c r="A203" s="223"/>
      <c r="B203" s="7"/>
      <c r="C203" s="7"/>
      <c r="D203" s="7"/>
      <c r="E203" s="224"/>
      <c r="F203" s="224"/>
      <c r="G203" s="224"/>
      <c r="H203" s="224"/>
      <c r="I203" s="224"/>
      <c r="J203" s="215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</row>
    <row r="204" spans="1:29" ht="24" customHeight="1" x14ac:dyDescent="0.55000000000000004">
      <c r="A204" s="223"/>
      <c r="B204" s="7"/>
      <c r="C204" s="7"/>
      <c r="D204" s="7"/>
      <c r="E204" s="224"/>
      <c r="F204" s="224"/>
      <c r="G204" s="224"/>
      <c r="H204" s="224"/>
      <c r="I204" s="224"/>
      <c r="J204" s="215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</row>
    <row r="205" spans="1:29" ht="24" customHeight="1" x14ac:dyDescent="0.55000000000000004">
      <c r="A205" s="223"/>
      <c r="B205" s="7"/>
      <c r="C205" s="7"/>
      <c r="D205" s="7"/>
      <c r="E205" s="224"/>
      <c r="F205" s="224"/>
      <c r="G205" s="224"/>
      <c r="H205" s="224"/>
      <c r="I205" s="224"/>
      <c r="J205" s="215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</row>
    <row r="206" spans="1:29" ht="24" customHeight="1" x14ac:dyDescent="0.55000000000000004">
      <c r="A206" s="223"/>
      <c r="B206" s="7"/>
      <c r="C206" s="7"/>
      <c r="D206" s="7"/>
      <c r="E206" s="224"/>
      <c r="F206" s="224"/>
      <c r="G206" s="224"/>
      <c r="H206" s="224"/>
      <c r="I206" s="224"/>
      <c r="J206" s="215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</row>
    <row r="207" spans="1:29" ht="24" customHeight="1" x14ac:dyDescent="0.55000000000000004">
      <c r="A207" s="223"/>
      <c r="B207" s="7"/>
      <c r="C207" s="7"/>
      <c r="D207" s="7"/>
      <c r="E207" s="224"/>
      <c r="F207" s="224"/>
      <c r="G207" s="224"/>
      <c r="H207" s="224"/>
      <c r="I207" s="224"/>
      <c r="J207" s="215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</row>
    <row r="208" spans="1:29" ht="24" customHeight="1" x14ac:dyDescent="0.55000000000000004">
      <c r="A208" s="223"/>
      <c r="B208" s="7"/>
      <c r="C208" s="7"/>
      <c r="D208" s="7"/>
      <c r="E208" s="224"/>
      <c r="F208" s="224"/>
      <c r="G208" s="224"/>
      <c r="H208" s="224"/>
      <c r="I208" s="224"/>
      <c r="J208" s="215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</row>
    <row r="209" spans="1:29" ht="24" customHeight="1" x14ac:dyDescent="0.55000000000000004">
      <c r="A209" s="223"/>
      <c r="B209" s="7"/>
      <c r="C209" s="7"/>
      <c r="D209" s="7"/>
      <c r="E209" s="224"/>
      <c r="F209" s="224"/>
      <c r="G209" s="224"/>
      <c r="H209" s="224"/>
      <c r="I209" s="224"/>
      <c r="J209" s="215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</row>
    <row r="210" spans="1:29" ht="24" customHeight="1" x14ac:dyDescent="0.55000000000000004">
      <c r="A210" s="223"/>
      <c r="B210" s="7"/>
      <c r="C210" s="7"/>
      <c r="D210" s="7"/>
      <c r="E210" s="224"/>
      <c r="F210" s="224"/>
      <c r="G210" s="224"/>
      <c r="H210" s="224"/>
      <c r="I210" s="224"/>
      <c r="J210" s="215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</row>
    <row r="211" spans="1:29" ht="24" customHeight="1" x14ac:dyDescent="0.55000000000000004">
      <c r="A211" s="223"/>
      <c r="B211" s="7"/>
      <c r="C211" s="7"/>
      <c r="D211" s="7"/>
      <c r="E211" s="224"/>
      <c r="F211" s="224"/>
      <c r="G211" s="224"/>
      <c r="H211" s="224"/>
      <c r="I211" s="224"/>
      <c r="J211" s="215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</row>
    <row r="212" spans="1:29" ht="24" customHeight="1" x14ac:dyDescent="0.55000000000000004">
      <c r="A212" s="223"/>
      <c r="B212" s="7"/>
      <c r="C212" s="7"/>
      <c r="D212" s="7"/>
      <c r="E212" s="224"/>
      <c r="F212" s="224"/>
      <c r="G212" s="224"/>
      <c r="H212" s="224"/>
      <c r="I212" s="224"/>
      <c r="J212" s="215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</row>
    <row r="213" spans="1:29" ht="24" customHeight="1" x14ac:dyDescent="0.55000000000000004">
      <c r="A213" s="223"/>
      <c r="B213" s="7"/>
      <c r="C213" s="7"/>
      <c r="D213" s="7"/>
      <c r="E213" s="224"/>
      <c r="F213" s="224"/>
      <c r="G213" s="224"/>
      <c r="H213" s="224"/>
      <c r="I213" s="224"/>
      <c r="J213" s="215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</row>
    <row r="214" spans="1:29" ht="24" customHeight="1" x14ac:dyDescent="0.55000000000000004">
      <c r="A214" s="223"/>
      <c r="B214" s="7"/>
      <c r="C214" s="7"/>
      <c r="D214" s="7"/>
      <c r="E214" s="224"/>
      <c r="F214" s="224"/>
      <c r="G214" s="224"/>
      <c r="H214" s="224"/>
      <c r="I214" s="224"/>
      <c r="J214" s="215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</row>
    <row r="215" spans="1:29" ht="24" customHeight="1" x14ac:dyDescent="0.55000000000000004">
      <c r="A215" s="223"/>
      <c r="B215" s="7"/>
      <c r="C215" s="7"/>
      <c r="D215" s="7"/>
      <c r="E215" s="224"/>
      <c r="F215" s="224"/>
      <c r="G215" s="224"/>
      <c r="H215" s="224"/>
      <c r="I215" s="224"/>
      <c r="J215" s="215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</row>
    <row r="216" spans="1:29" ht="24" customHeight="1" x14ac:dyDescent="0.55000000000000004">
      <c r="A216" s="223"/>
      <c r="B216" s="7"/>
      <c r="C216" s="7"/>
      <c r="D216" s="7"/>
      <c r="E216" s="224"/>
      <c r="F216" s="224"/>
      <c r="G216" s="224"/>
      <c r="H216" s="224"/>
      <c r="I216" s="224"/>
      <c r="J216" s="215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</row>
    <row r="217" spans="1:29" ht="24" customHeight="1" x14ac:dyDescent="0.55000000000000004">
      <c r="A217" s="223"/>
      <c r="B217" s="7"/>
      <c r="C217" s="7"/>
      <c r="D217" s="7"/>
      <c r="E217" s="224"/>
      <c r="F217" s="224"/>
      <c r="G217" s="224"/>
      <c r="H217" s="224"/>
      <c r="I217" s="224"/>
      <c r="J217" s="215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</row>
    <row r="218" spans="1:29" ht="24" customHeight="1" x14ac:dyDescent="0.55000000000000004">
      <c r="A218" s="223"/>
      <c r="B218" s="7"/>
      <c r="C218" s="7"/>
      <c r="D218" s="7"/>
      <c r="E218" s="224"/>
      <c r="F218" s="224"/>
      <c r="G218" s="224"/>
      <c r="H218" s="224"/>
      <c r="I218" s="224"/>
      <c r="J218" s="215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</row>
    <row r="219" spans="1:29" ht="24" customHeight="1" x14ac:dyDescent="0.55000000000000004">
      <c r="A219" s="223"/>
      <c r="B219" s="7"/>
      <c r="C219" s="7"/>
      <c r="D219" s="7"/>
      <c r="E219" s="224"/>
      <c r="F219" s="224"/>
      <c r="G219" s="224"/>
      <c r="H219" s="224"/>
      <c r="I219" s="224"/>
      <c r="J219" s="215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</row>
    <row r="220" spans="1:29" ht="24" customHeight="1" x14ac:dyDescent="0.55000000000000004">
      <c r="A220" s="223"/>
      <c r="B220" s="7"/>
      <c r="C220" s="7"/>
      <c r="D220" s="7"/>
      <c r="E220" s="224"/>
      <c r="F220" s="224"/>
      <c r="G220" s="224"/>
      <c r="H220" s="224"/>
      <c r="I220" s="224"/>
      <c r="J220" s="215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</row>
    <row r="221" spans="1:29" ht="24" customHeight="1" x14ac:dyDescent="0.55000000000000004">
      <c r="A221" s="223"/>
      <c r="B221" s="7"/>
      <c r="C221" s="7"/>
      <c r="D221" s="7"/>
      <c r="E221" s="224"/>
      <c r="F221" s="224"/>
      <c r="G221" s="224"/>
      <c r="H221" s="224"/>
      <c r="I221" s="224"/>
      <c r="J221" s="215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</row>
    <row r="222" spans="1:29" ht="24" customHeight="1" x14ac:dyDescent="0.55000000000000004">
      <c r="A222" s="223"/>
      <c r="B222" s="7"/>
      <c r="C222" s="7"/>
      <c r="D222" s="7"/>
      <c r="E222" s="224"/>
      <c r="F222" s="224"/>
      <c r="G222" s="224"/>
      <c r="H222" s="224"/>
      <c r="I222" s="224"/>
      <c r="J222" s="215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</row>
    <row r="223" spans="1:29" ht="24" customHeight="1" x14ac:dyDescent="0.55000000000000004">
      <c r="A223" s="223"/>
      <c r="B223" s="7"/>
      <c r="C223" s="7"/>
      <c r="D223" s="7"/>
      <c r="E223" s="224"/>
      <c r="F223" s="224"/>
      <c r="G223" s="224"/>
      <c r="H223" s="224"/>
      <c r="I223" s="224"/>
      <c r="J223" s="215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</row>
    <row r="224" spans="1:29" ht="24" customHeight="1" x14ac:dyDescent="0.55000000000000004">
      <c r="A224" s="223"/>
      <c r="B224" s="7"/>
      <c r="C224" s="7"/>
      <c r="D224" s="7"/>
      <c r="E224" s="224"/>
      <c r="F224" s="224"/>
      <c r="G224" s="224"/>
      <c r="H224" s="224"/>
      <c r="I224" s="224"/>
      <c r="J224" s="215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</row>
    <row r="225" spans="1:29" ht="24" customHeight="1" x14ac:dyDescent="0.55000000000000004">
      <c r="A225" s="223"/>
      <c r="B225" s="7"/>
      <c r="C225" s="7"/>
      <c r="D225" s="7"/>
      <c r="E225" s="224"/>
      <c r="F225" s="224"/>
      <c r="G225" s="224"/>
      <c r="H225" s="224"/>
      <c r="I225" s="224"/>
      <c r="J225" s="215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</row>
    <row r="226" spans="1:29" ht="24" customHeight="1" x14ac:dyDescent="0.55000000000000004">
      <c r="A226" s="223"/>
      <c r="B226" s="7"/>
      <c r="C226" s="7"/>
      <c r="D226" s="7"/>
      <c r="E226" s="224"/>
      <c r="F226" s="224"/>
      <c r="G226" s="224"/>
      <c r="H226" s="224"/>
      <c r="I226" s="224"/>
      <c r="J226" s="215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</row>
    <row r="227" spans="1:29" ht="24" customHeight="1" x14ac:dyDescent="0.55000000000000004">
      <c r="A227" s="223"/>
      <c r="B227" s="7"/>
      <c r="C227" s="7"/>
      <c r="D227" s="7"/>
      <c r="E227" s="224"/>
      <c r="F227" s="224"/>
      <c r="G227" s="224"/>
      <c r="H227" s="224"/>
      <c r="I227" s="224"/>
      <c r="J227" s="215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</row>
    <row r="228" spans="1:29" ht="24" customHeight="1" x14ac:dyDescent="0.55000000000000004">
      <c r="A228" s="223"/>
      <c r="B228" s="7"/>
      <c r="C228" s="7"/>
      <c r="D228" s="7"/>
      <c r="E228" s="224"/>
      <c r="F228" s="224"/>
      <c r="G228" s="224"/>
      <c r="H228" s="224"/>
      <c r="I228" s="224"/>
      <c r="J228" s="215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</row>
    <row r="229" spans="1:29" ht="24" customHeight="1" x14ac:dyDescent="0.55000000000000004">
      <c r="A229" s="223"/>
      <c r="B229" s="7"/>
      <c r="C229" s="7"/>
      <c r="D229" s="7"/>
      <c r="E229" s="224"/>
      <c r="F229" s="224"/>
      <c r="G229" s="224"/>
      <c r="H229" s="224"/>
      <c r="I229" s="224"/>
      <c r="J229" s="215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</row>
    <row r="230" spans="1:29" ht="24" customHeight="1" x14ac:dyDescent="0.55000000000000004">
      <c r="A230" s="223"/>
      <c r="B230" s="7"/>
      <c r="C230" s="7"/>
      <c r="D230" s="7"/>
      <c r="E230" s="224"/>
      <c r="F230" s="224"/>
      <c r="G230" s="224"/>
      <c r="H230" s="224"/>
      <c r="I230" s="224"/>
      <c r="J230" s="215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</row>
    <row r="231" spans="1:29" ht="24" customHeight="1" x14ac:dyDescent="0.55000000000000004">
      <c r="A231" s="223"/>
      <c r="B231" s="7"/>
      <c r="C231" s="7"/>
      <c r="D231" s="7"/>
      <c r="E231" s="224"/>
      <c r="F231" s="224"/>
      <c r="G231" s="224"/>
      <c r="H231" s="224"/>
      <c r="I231" s="224"/>
      <c r="J231" s="215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</row>
    <row r="232" spans="1:29" ht="24" customHeight="1" x14ac:dyDescent="0.55000000000000004">
      <c r="A232" s="223"/>
      <c r="B232" s="7"/>
      <c r="C232" s="7"/>
      <c r="D232" s="7"/>
      <c r="E232" s="224"/>
      <c r="F232" s="224"/>
      <c r="G232" s="224"/>
      <c r="H232" s="224"/>
      <c r="I232" s="224"/>
      <c r="J232" s="215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</row>
    <row r="233" spans="1:29" ht="24" customHeight="1" x14ac:dyDescent="0.55000000000000004">
      <c r="A233" s="223"/>
      <c r="B233" s="7"/>
      <c r="C233" s="7"/>
      <c r="D233" s="7"/>
      <c r="E233" s="224"/>
      <c r="F233" s="224"/>
      <c r="G233" s="224"/>
      <c r="H233" s="224"/>
      <c r="I233" s="224"/>
      <c r="J233" s="215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</row>
    <row r="234" spans="1:29" ht="24" customHeight="1" x14ac:dyDescent="0.55000000000000004">
      <c r="A234" s="223"/>
      <c r="B234" s="7"/>
      <c r="C234" s="7"/>
      <c r="D234" s="7"/>
      <c r="E234" s="224"/>
      <c r="F234" s="224"/>
      <c r="G234" s="224"/>
      <c r="H234" s="224"/>
      <c r="I234" s="224"/>
      <c r="J234" s="215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</row>
    <row r="235" spans="1:29" ht="24" customHeight="1" x14ac:dyDescent="0.55000000000000004">
      <c r="A235" s="223"/>
      <c r="B235" s="7"/>
      <c r="C235" s="7"/>
      <c r="D235" s="7"/>
      <c r="E235" s="224"/>
      <c r="F235" s="224"/>
      <c r="G235" s="224"/>
      <c r="H235" s="224"/>
      <c r="I235" s="224"/>
      <c r="J235" s="215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</row>
    <row r="236" spans="1:29" ht="24" customHeight="1" x14ac:dyDescent="0.55000000000000004">
      <c r="A236" s="223"/>
      <c r="B236" s="7"/>
      <c r="C236" s="7"/>
      <c r="D236" s="7"/>
      <c r="E236" s="224"/>
      <c r="F236" s="224"/>
      <c r="G236" s="224"/>
      <c r="H236" s="224"/>
      <c r="I236" s="224"/>
      <c r="J236" s="215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</row>
    <row r="237" spans="1:29" ht="24" customHeight="1" x14ac:dyDescent="0.55000000000000004">
      <c r="A237" s="223"/>
      <c r="B237" s="7"/>
      <c r="C237" s="7"/>
      <c r="D237" s="7"/>
      <c r="E237" s="224"/>
      <c r="F237" s="224"/>
      <c r="G237" s="224"/>
      <c r="H237" s="224"/>
      <c r="I237" s="224"/>
      <c r="J237" s="215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</row>
    <row r="238" spans="1:29" ht="24" customHeight="1" x14ac:dyDescent="0.55000000000000004">
      <c r="A238" s="223"/>
      <c r="B238" s="7"/>
      <c r="C238" s="7"/>
      <c r="D238" s="7"/>
      <c r="E238" s="224"/>
      <c r="F238" s="224"/>
      <c r="G238" s="224"/>
      <c r="H238" s="224"/>
      <c r="I238" s="224"/>
      <c r="J238" s="215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</row>
    <row r="239" spans="1:29" ht="24" customHeight="1" x14ac:dyDescent="0.55000000000000004">
      <c r="A239" s="223"/>
      <c r="B239" s="7"/>
      <c r="C239" s="7"/>
      <c r="D239" s="7"/>
      <c r="E239" s="224"/>
      <c r="F239" s="224"/>
      <c r="G239" s="224"/>
      <c r="H239" s="224"/>
      <c r="I239" s="224"/>
      <c r="J239" s="215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</row>
    <row r="240" spans="1:29" ht="24" customHeight="1" x14ac:dyDescent="0.55000000000000004">
      <c r="A240" s="223"/>
      <c r="B240" s="7"/>
      <c r="C240" s="7"/>
      <c r="D240" s="7"/>
      <c r="E240" s="224"/>
      <c r="F240" s="224"/>
      <c r="G240" s="224"/>
      <c r="H240" s="224"/>
      <c r="I240" s="224"/>
      <c r="J240" s="215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</row>
    <row r="241" spans="1:29" ht="24" customHeight="1" x14ac:dyDescent="0.55000000000000004">
      <c r="A241" s="223"/>
      <c r="B241" s="7"/>
      <c r="C241" s="7"/>
      <c r="D241" s="7"/>
      <c r="E241" s="224"/>
      <c r="F241" s="224"/>
      <c r="G241" s="224"/>
      <c r="H241" s="224"/>
      <c r="I241" s="224"/>
      <c r="J241" s="215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</row>
    <row r="242" spans="1:29" ht="24" customHeight="1" x14ac:dyDescent="0.55000000000000004">
      <c r="A242" s="223"/>
      <c r="B242" s="7"/>
      <c r="C242" s="7"/>
      <c r="D242" s="7"/>
      <c r="E242" s="224"/>
      <c r="F242" s="224"/>
      <c r="G242" s="224"/>
      <c r="H242" s="224"/>
      <c r="I242" s="224"/>
      <c r="J242" s="215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</row>
    <row r="243" spans="1:29" ht="24" customHeight="1" x14ac:dyDescent="0.55000000000000004">
      <c r="A243" s="223"/>
      <c r="B243" s="7"/>
      <c r="C243" s="7"/>
      <c r="D243" s="7"/>
      <c r="E243" s="224"/>
      <c r="F243" s="224"/>
      <c r="G243" s="224"/>
      <c r="H243" s="224"/>
      <c r="I243" s="224"/>
      <c r="J243" s="215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</row>
    <row r="244" spans="1:29" ht="24" customHeight="1" x14ac:dyDescent="0.55000000000000004">
      <c r="A244" s="223"/>
      <c r="B244" s="7"/>
      <c r="C244" s="7"/>
      <c r="D244" s="7"/>
      <c r="E244" s="224"/>
      <c r="F244" s="224"/>
      <c r="G244" s="224"/>
      <c r="H244" s="224"/>
      <c r="I244" s="224"/>
      <c r="J244" s="215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</row>
    <row r="245" spans="1:29" ht="24" customHeight="1" x14ac:dyDescent="0.55000000000000004">
      <c r="A245" s="223"/>
      <c r="B245" s="7"/>
      <c r="C245" s="7"/>
      <c r="D245" s="7"/>
      <c r="E245" s="224"/>
      <c r="F245" s="224"/>
      <c r="G245" s="224"/>
      <c r="H245" s="224"/>
      <c r="I245" s="224"/>
      <c r="J245" s="215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</row>
    <row r="246" spans="1:29" ht="24" customHeight="1" x14ac:dyDescent="0.55000000000000004">
      <c r="A246" s="223"/>
      <c r="B246" s="7"/>
      <c r="C246" s="7"/>
      <c r="D246" s="7"/>
      <c r="E246" s="224"/>
      <c r="F246" s="224"/>
      <c r="G246" s="224"/>
      <c r="H246" s="224"/>
      <c r="I246" s="224"/>
      <c r="J246" s="215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</row>
    <row r="247" spans="1:29" ht="24" customHeight="1" x14ac:dyDescent="0.55000000000000004">
      <c r="A247" s="223"/>
      <c r="B247" s="7"/>
      <c r="C247" s="7"/>
      <c r="D247" s="7"/>
      <c r="E247" s="224"/>
      <c r="F247" s="224"/>
      <c r="G247" s="224"/>
      <c r="H247" s="224"/>
      <c r="I247" s="224"/>
      <c r="J247" s="215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</row>
    <row r="248" spans="1:29" ht="24" customHeight="1" x14ac:dyDescent="0.55000000000000004">
      <c r="A248" s="223"/>
      <c r="B248" s="7"/>
      <c r="C248" s="7"/>
      <c r="D248" s="7"/>
      <c r="E248" s="224"/>
      <c r="F248" s="224"/>
      <c r="G248" s="224"/>
      <c r="H248" s="224"/>
      <c r="I248" s="224"/>
      <c r="J248" s="215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</row>
    <row r="249" spans="1:29" ht="24" customHeight="1" x14ac:dyDescent="0.55000000000000004">
      <c r="A249" s="223"/>
      <c r="B249" s="7"/>
      <c r="C249" s="7"/>
      <c r="D249" s="7"/>
      <c r="E249" s="224"/>
      <c r="F249" s="224"/>
      <c r="G249" s="224"/>
      <c r="H249" s="224"/>
      <c r="I249" s="224"/>
      <c r="J249" s="215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</row>
    <row r="250" spans="1:29" ht="24" customHeight="1" x14ac:dyDescent="0.55000000000000004">
      <c r="A250" s="223"/>
      <c r="B250" s="7"/>
      <c r="C250" s="7"/>
      <c r="D250" s="7"/>
      <c r="E250" s="224"/>
      <c r="F250" s="224"/>
      <c r="G250" s="224"/>
      <c r="H250" s="224"/>
      <c r="I250" s="224"/>
      <c r="J250" s="215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</row>
    <row r="251" spans="1:29" ht="24" customHeight="1" x14ac:dyDescent="0.55000000000000004">
      <c r="A251" s="223"/>
      <c r="B251" s="7"/>
      <c r="C251" s="7"/>
      <c r="D251" s="7"/>
      <c r="E251" s="224"/>
      <c r="F251" s="224"/>
      <c r="G251" s="224"/>
      <c r="H251" s="224"/>
      <c r="I251" s="224"/>
      <c r="J251" s="215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</row>
    <row r="252" spans="1:29" ht="24" customHeight="1" x14ac:dyDescent="0.55000000000000004">
      <c r="A252" s="223"/>
      <c r="B252" s="7"/>
      <c r="C252" s="7"/>
      <c r="D252" s="7"/>
      <c r="E252" s="224"/>
      <c r="F252" s="224"/>
      <c r="G252" s="224"/>
      <c r="H252" s="224"/>
      <c r="I252" s="224"/>
      <c r="J252" s="215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</row>
    <row r="253" spans="1:29" ht="24" customHeight="1" x14ac:dyDescent="0.55000000000000004">
      <c r="A253" s="223"/>
      <c r="B253" s="7"/>
      <c r="C253" s="7"/>
      <c r="D253" s="7"/>
      <c r="E253" s="224"/>
      <c r="F253" s="224"/>
      <c r="G253" s="224"/>
      <c r="H253" s="224"/>
      <c r="I253" s="224"/>
      <c r="J253" s="215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</row>
    <row r="254" spans="1:29" ht="24" customHeight="1" x14ac:dyDescent="0.55000000000000004">
      <c r="A254" s="223"/>
      <c r="B254" s="7"/>
      <c r="C254" s="7"/>
      <c r="D254" s="7"/>
      <c r="E254" s="224"/>
      <c r="F254" s="224"/>
      <c r="G254" s="224"/>
      <c r="H254" s="224"/>
      <c r="I254" s="224"/>
      <c r="J254" s="215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</row>
    <row r="255" spans="1:29" ht="24" customHeight="1" x14ac:dyDescent="0.55000000000000004">
      <c r="A255" s="223"/>
      <c r="B255" s="7"/>
      <c r="C255" s="7"/>
      <c r="D255" s="7"/>
      <c r="E255" s="224"/>
      <c r="F255" s="224"/>
      <c r="G255" s="224"/>
      <c r="H255" s="224"/>
      <c r="I255" s="224"/>
      <c r="J255" s="215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</row>
    <row r="256" spans="1:29" ht="24" customHeight="1" x14ac:dyDescent="0.55000000000000004">
      <c r="A256" s="223"/>
      <c r="B256" s="7"/>
      <c r="C256" s="7"/>
      <c r="D256" s="7"/>
      <c r="E256" s="224"/>
      <c r="F256" s="224"/>
      <c r="G256" s="224"/>
      <c r="H256" s="224"/>
      <c r="I256" s="224"/>
      <c r="J256" s="215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</row>
    <row r="257" spans="1:29" ht="24" customHeight="1" x14ac:dyDescent="0.55000000000000004">
      <c r="A257" s="223"/>
      <c r="B257" s="7"/>
      <c r="C257" s="7"/>
      <c r="D257" s="7"/>
      <c r="E257" s="224"/>
      <c r="F257" s="224"/>
      <c r="G257" s="224"/>
      <c r="H257" s="224"/>
      <c r="I257" s="224"/>
      <c r="J257" s="215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</row>
    <row r="258" spans="1:29" ht="24" customHeight="1" x14ac:dyDescent="0.55000000000000004">
      <c r="A258" s="223"/>
      <c r="B258" s="7"/>
      <c r="C258" s="7"/>
      <c r="D258" s="7"/>
      <c r="E258" s="224"/>
      <c r="F258" s="224"/>
      <c r="G258" s="224"/>
      <c r="H258" s="224"/>
      <c r="I258" s="224"/>
      <c r="J258" s="215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</row>
    <row r="259" spans="1:29" ht="24" customHeight="1" x14ac:dyDescent="0.55000000000000004">
      <c r="A259" s="223"/>
      <c r="B259" s="7"/>
      <c r="C259" s="7"/>
      <c r="D259" s="7"/>
      <c r="E259" s="224"/>
      <c r="F259" s="224"/>
      <c r="G259" s="224"/>
      <c r="H259" s="224"/>
      <c r="I259" s="224"/>
      <c r="J259" s="215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</row>
    <row r="260" spans="1:29" ht="24" customHeight="1" x14ac:dyDescent="0.55000000000000004">
      <c r="A260" s="223"/>
      <c r="B260" s="7"/>
      <c r="C260" s="7"/>
      <c r="D260" s="7"/>
      <c r="E260" s="224"/>
      <c r="F260" s="224"/>
      <c r="G260" s="224"/>
      <c r="H260" s="224"/>
      <c r="I260" s="224"/>
      <c r="J260" s="215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</row>
    <row r="261" spans="1:29" ht="24" customHeight="1" x14ac:dyDescent="0.55000000000000004">
      <c r="A261" s="223"/>
      <c r="B261" s="7"/>
      <c r="C261" s="7"/>
      <c r="D261" s="7"/>
      <c r="E261" s="224"/>
      <c r="F261" s="224"/>
      <c r="G261" s="224"/>
      <c r="H261" s="224"/>
      <c r="I261" s="224"/>
      <c r="J261" s="215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</row>
    <row r="262" spans="1:29" ht="24" customHeight="1" x14ac:dyDescent="0.55000000000000004">
      <c r="A262" s="223"/>
      <c r="B262" s="7"/>
      <c r="C262" s="7"/>
      <c r="D262" s="7"/>
      <c r="E262" s="224"/>
      <c r="F262" s="224"/>
      <c r="G262" s="224"/>
      <c r="H262" s="224"/>
      <c r="I262" s="224"/>
      <c r="J262" s="215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</row>
    <row r="263" spans="1:29" ht="24" customHeight="1" x14ac:dyDescent="0.55000000000000004">
      <c r="A263" s="223"/>
      <c r="B263" s="7"/>
      <c r="C263" s="7"/>
      <c r="D263" s="7"/>
      <c r="E263" s="224"/>
      <c r="F263" s="224"/>
      <c r="G263" s="224"/>
      <c r="H263" s="224"/>
      <c r="I263" s="224"/>
      <c r="J263" s="215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</row>
    <row r="264" spans="1:29" ht="24" customHeight="1" x14ac:dyDescent="0.55000000000000004">
      <c r="A264" s="223"/>
      <c r="B264" s="7"/>
      <c r="C264" s="7"/>
      <c r="D264" s="7"/>
      <c r="E264" s="224"/>
      <c r="F264" s="224"/>
      <c r="G264" s="224"/>
      <c r="H264" s="224"/>
      <c r="I264" s="224"/>
      <c r="J264" s="215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</row>
    <row r="265" spans="1:29" ht="24" customHeight="1" x14ac:dyDescent="0.55000000000000004">
      <c r="A265" s="223"/>
      <c r="B265" s="7"/>
      <c r="C265" s="7"/>
      <c r="D265" s="7"/>
      <c r="E265" s="224"/>
      <c r="F265" s="224"/>
      <c r="G265" s="224"/>
      <c r="H265" s="224"/>
      <c r="I265" s="224"/>
      <c r="J265" s="215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</row>
    <row r="266" spans="1:29" ht="24" customHeight="1" x14ac:dyDescent="0.55000000000000004">
      <c r="A266" s="223"/>
      <c r="B266" s="7"/>
      <c r="C266" s="7"/>
      <c r="D266" s="7"/>
      <c r="E266" s="224"/>
      <c r="F266" s="224"/>
      <c r="G266" s="224"/>
      <c r="H266" s="224"/>
      <c r="I266" s="224"/>
      <c r="J266" s="215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</row>
    <row r="267" spans="1:29" ht="24" customHeight="1" x14ac:dyDescent="0.55000000000000004">
      <c r="A267" s="223"/>
      <c r="B267" s="7"/>
      <c r="C267" s="7"/>
      <c r="D267" s="7"/>
      <c r="E267" s="224"/>
      <c r="F267" s="224"/>
      <c r="G267" s="224"/>
      <c r="H267" s="224"/>
      <c r="I267" s="224"/>
      <c r="J267" s="215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</row>
    <row r="268" spans="1:29" ht="24" customHeight="1" x14ac:dyDescent="0.55000000000000004">
      <c r="A268" s="223"/>
      <c r="B268" s="7"/>
      <c r="C268" s="7"/>
      <c r="D268" s="7"/>
      <c r="E268" s="224"/>
      <c r="F268" s="224"/>
      <c r="G268" s="224"/>
      <c r="H268" s="224"/>
      <c r="I268" s="224"/>
      <c r="J268" s="215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</row>
    <row r="269" spans="1:29" ht="24" customHeight="1" x14ac:dyDescent="0.55000000000000004">
      <c r="A269" s="223"/>
      <c r="B269" s="7"/>
      <c r="C269" s="7"/>
      <c r="D269" s="7"/>
      <c r="E269" s="224"/>
      <c r="F269" s="224"/>
      <c r="G269" s="224"/>
      <c r="H269" s="224"/>
      <c r="I269" s="224"/>
      <c r="J269" s="215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</row>
    <row r="270" spans="1:29" ht="24" customHeight="1" x14ac:dyDescent="0.55000000000000004">
      <c r="A270" s="223"/>
      <c r="B270" s="7"/>
      <c r="C270" s="7"/>
      <c r="D270" s="7"/>
      <c r="E270" s="224"/>
      <c r="F270" s="224"/>
      <c r="G270" s="224"/>
      <c r="H270" s="224"/>
      <c r="I270" s="224"/>
      <c r="J270" s="215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</row>
    <row r="271" spans="1:29" ht="24" customHeight="1" x14ac:dyDescent="0.55000000000000004">
      <c r="A271" s="223"/>
      <c r="B271" s="7"/>
      <c r="C271" s="7"/>
      <c r="D271" s="7"/>
      <c r="E271" s="224"/>
      <c r="F271" s="224"/>
      <c r="G271" s="224"/>
      <c r="H271" s="224"/>
      <c r="I271" s="224"/>
      <c r="J271" s="215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</row>
    <row r="272" spans="1:29" ht="24" customHeight="1" x14ac:dyDescent="0.55000000000000004">
      <c r="A272" s="223"/>
      <c r="B272" s="7"/>
      <c r="C272" s="7"/>
      <c r="D272" s="7"/>
      <c r="E272" s="224"/>
      <c r="F272" s="224"/>
      <c r="G272" s="224"/>
      <c r="H272" s="224"/>
      <c r="I272" s="224"/>
      <c r="J272" s="215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</row>
    <row r="273" spans="1:29" ht="24" customHeight="1" x14ac:dyDescent="0.55000000000000004">
      <c r="A273" s="223"/>
      <c r="B273" s="7"/>
      <c r="C273" s="7"/>
      <c r="D273" s="7"/>
      <c r="E273" s="224"/>
      <c r="F273" s="224"/>
      <c r="G273" s="224"/>
      <c r="H273" s="224"/>
      <c r="I273" s="224"/>
      <c r="J273" s="215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</row>
    <row r="274" spans="1:29" ht="24" customHeight="1" x14ac:dyDescent="0.55000000000000004">
      <c r="A274" s="223"/>
      <c r="B274" s="7"/>
      <c r="C274" s="7"/>
      <c r="D274" s="7"/>
      <c r="E274" s="224"/>
      <c r="F274" s="224"/>
      <c r="G274" s="224"/>
      <c r="H274" s="224"/>
      <c r="I274" s="224"/>
      <c r="J274" s="215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</row>
    <row r="275" spans="1:29" ht="24" customHeight="1" x14ac:dyDescent="0.55000000000000004">
      <c r="A275" s="223"/>
      <c r="B275" s="7"/>
      <c r="C275" s="7"/>
      <c r="D275" s="7"/>
      <c r="E275" s="224"/>
      <c r="F275" s="224"/>
      <c r="G275" s="224"/>
      <c r="H275" s="224"/>
      <c r="I275" s="224"/>
      <c r="J275" s="215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</row>
    <row r="276" spans="1:29" ht="24" customHeight="1" x14ac:dyDescent="0.55000000000000004">
      <c r="A276" s="223"/>
      <c r="B276" s="7"/>
      <c r="C276" s="7"/>
      <c r="D276" s="7"/>
      <c r="E276" s="224"/>
      <c r="F276" s="224"/>
      <c r="G276" s="224"/>
      <c r="H276" s="224"/>
      <c r="I276" s="224"/>
      <c r="J276" s="215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</row>
    <row r="277" spans="1:29" ht="24" customHeight="1" x14ac:dyDescent="0.55000000000000004">
      <c r="A277" s="223"/>
      <c r="B277" s="7"/>
      <c r="C277" s="7"/>
      <c r="D277" s="7"/>
      <c r="E277" s="224"/>
      <c r="F277" s="224"/>
      <c r="G277" s="224"/>
      <c r="H277" s="224"/>
      <c r="I277" s="224"/>
      <c r="J277" s="215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</row>
    <row r="278" spans="1:29" ht="24" customHeight="1" x14ac:dyDescent="0.55000000000000004">
      <c r="A278" s="223"/>
      <c r="B278" s="7"/>
      <c r="C278" s="7"/>
      <c r="D278" s="7"/>
      <c r="E278" s="224"/>
      <c r="F278" s="224"/>
      <c r="G278" s="224"/>
      <c r="H278" s="224"/>
      <c r="I278" s="224"/>
      <c r="J278" s="215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</row>
    <row r="279" spans="1:29" ht="24" customHeight="1" x14ac:dyDescent="0.55000000000000004">
      <c r="A279" s="223"/>
      <c r="B279" s="7"/>
      <c r="C279" s="7"/>
      <c r="D279" s="7"/>
      <c r="E279" s="224"/>
      <c r="F279" s="224"/>
      <c r="G279" s="224"/>
      <c r="H279" s="224"/>
      <c r="I279" s="224"/>
      <c r="J279" s="215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</row>
    <row r="280" spans="1:29" ht="24" customHeight="1" x14ac:dyDescent="0.55000000000000004">
      <c r="A280" s="223"/>
      <c r="B280" s="7"/>
      <c r="C280" s="7"/>
      <c r="D280" s="7"/>
      <c r="E280" s="224"/>
      <c r="F280" s="224"/>
      <c r="G280" s="224"/>
      <c r="H280" s="224"/>
      <c r="I280" s="224"/>
      <c r="J280" s="215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</row>
    <row r="281" spans="1:29" ht="24" customHeight="1" x14ac:dyDescent="0.55000000000000004">
      <c r="A281" s="223"/>
      <c r="B281" s="7"/>
      <c r="C281" s="7"/>
      <c r="D281" s="7"/>
      <c r="E281" s="224"/>
      <c r="F281" s="224"/>
      <c r="G281" s="224"/>
      <c r="H281" s="224"/>
      <c r="I281" s="224"/>
      <c r="J281" s="215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</row>
    <row r="282" spans="1:29" ht="24" customHeight="1" x14ac:dyDescent="0.55000000000000004">
      <c r="A282" s="223"/>
      <c r="B282" s="7"/>
      <c r="C282" s="7"/>
      <c r="D282" s="7"/>
      <c r="E282" s="224"/>
      <c r="F282" s="224"/>
      <c r="G282" s="224"/>
      <c r="H282" s="224"/>
      <c r="I282" s="224"/>
      <c r="J282" s="215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</row>
    <row r="283" spans="1:29" ht="24" customHeight="1" x14ac:dyDescent="0.55000000000000004">
      <c r="A283" s="223"/>
      <c r="B283" s="7"/>
      <c r="C283" s="7"/>
      <c r="D283" s="7"/>
      <c r="E283" s="224"/>
      <c r="F283" s="224"/>
      <c r="G283" s="224"/>
      <c r="H283" s="224"/>
      <c r="I283" s="224"/>
      <c r="J283" s="215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</row>
    <row r="284" spans="1:29" ht="24" customHeight="1" x14ac:dyDescent="0.55000000000000004">
      <c r="A284" s="223"/>
      <c r="B284" s="7"/>
      <c r="C284" s="7"/>
      <c r="D284" s="7"/>
      <c r="E284" s="224"/>
      <c r="F284" s="224"/>
      <c r="G284" s="224"/>
      <c r="H284" s="224"/>
      <c r="I284" s="224"/>
      <c r="J284" s="215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</row>
    <row r="285" spans="1:29" ht="24" customHeight="1" x14ac:dyDescent="0.55000000000000004">
      <c r="A285" s="223"/>
      <c r="B285" s="7"/>
      <c r="C285" s="7"/>
      <c r="D285" s="7"/>
      <c r="E285" s="224"/>
      <c r="F285" s="224"/>
      <c r="G285" s="224"/>
      <c r="H285" s="224"/>
      <c r="I285" s="224"/>
      <c r="J285" s="215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</row>
    <row r="286" spans="1:29" ht="24" customHeight="1" x14ac:dyDescent="0.55000000000000004">
      <c r="A286" s="223"/>
      <c r="B286" s="7"/>
      <c r="C286" s="7"/>
      <c r="D286" s="7"/>
      <c r="E286" s="224"/>
      <c r="F286" s="224"/>
      <c r="G286" s="224"/>
      <c r="H286" s="224"/>
      <c r="I286" s="224"/>
      <c r="J286" s="215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</row>
    <row r="287" spans="1:29" ht="24" customHeight="1" x14ac:dyDescent="0.55000000000000004">
      <c r="A287" s="223"/>
      <c r="B287" s="7"/>
      <c r="C287" s="7"/>
      <c r="D287" s="7"/>
      <c r="E287" s="224"/>
      <c r="F287" s="224"/>
      <c r="G287" s="224"/>
      <c r="H287" s="224"/>
      <c r="I287" s="224"/>
      <c r="J287" s="215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</row>
    <row r="288" spans="1:29" ht="24" customHeight="1" x14ac:dyDescent="0.55000000000000004">
      <c r="A288" s="223"/>
      <c r="B288" s="7"/>
      <c r="C288" s="7"/>
      <c r="D288" s="7"/>
      <c r="E288" s="224"/>
      <c r="F288" s="224"/>
      <c r="G288" s="224"/>
      <c r="H288" s="224"/>
      <c r="I288" s="224"/>
      <c r="J288" s="215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</row>
    <row r="289" spans="1:29" ht="24" customHeight="1" x14ac:dyDescent="0.55000000000000004">
      <c r="A289" s="223"/>
      <c r="B289" s="7"/>
      <c r="C289" s="7"/>
      <c r="D289" s="7"/>
      <c r="E289" s="224"/>
      <c r="F289" s="224"/>
      <c r="G289" s="224"/>
      <c r="H289" s="224"/>
      <c r="I289" s="224"/>
      <c r="J289" s="215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</row>
    <row r="290" spans="1:29" ht="24" customHeight="1" x14ac:dyDescent="0.55000000000000004">
      <c r="A290" s="223"/>
      <c r="B290" s="7"/>
      <c r="C290" s="7"/>
      <c r="D290" s="7"/>
      <c r="E290" s="224"/>
      <c r="F290" s="224"/>
      <c r="G290" s="224"/>
      <c r="H290" s="224"/>
      <c r="I290" s="224"/>
      <c r="J290" s="215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</row>
    <row r="291" spans="1:29" ht="24" customHeight="1" x14ac:dyDescent="0.55000000000000004">
      <c r="A291" s="223"/>
      <c r="B291" s="7"/>
      <c r="C291" s="7"/>
      <c r="D291" s="7"/>
      <c r="E291" s="224"/>
      <c r="F291" s="224"/>
      <c r="G291" s="224"/>
      <c r="H291" s="224"/>
      <c r="I291" s="224"/>
      <c r="J291" s="215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</row>
    <row r="292" spans="1:29" ht="24" customHeight="1" x14ac:dyDescent="0.55000000000000004">
      <c r="A292" s="223"/>
      <c r="B292" s="7"/>
      <c r="C292" s="7"/>
      <c r="D292" s="7"/>
      <c r="E292" s="224"/>
      <c r="F292" s="224"/>
      <c r="G292" s="224"/>
      <c r="H292" s="224"/>
      <c r="I292" s="224"/>
      <c r="J292" s="215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</row>
    <row r="293" spans="1:29" ht="24" customHeight="1" x14ac:dyDescent="0.55000000000000004">
      <c r="A293" s="223"/>
      <c r="B293" s="7"/>
      <c r="C293" s="7"/>
      <c r="D293" s="7"/>
      <c r="E293" s="224"/>
      <c r="F293" s="224"/>
      <c r="G293" s="224"/>
      <c r="H293" s="224"/>
      <c r="I293" s="224"/>
      <c r="J293" s="215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</row>
    <row r="294" spans="1:29" ht="24" customHeight="1" x14ac:dyDescent="0.55000000000000004">
      <c r="A294" s="223"/>
      <c r="B294" s="7"/>
      <c r="C294" s="7"/>
      <c r="D294" s="7"/>
      <c r="E294" s="224"/>
      <c r="F294" s="224"/>
      <c r="G294" s="224"/>
      <c r="H294" s="224"/>
      <c r="I294" s="224"/>
      <c r="J294" s="215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</row>
    <row r="295" spans="1:29" ht="24" customHeight="1" x14ac:dyDescent="0.55000000000000004">
      <c r="A295" s="223"/>
      <c r="B295" s="7"/>
      <c r="C295" s="7"/>
      <c r="D295" s="7"/>
      <c r="E295" s="224"/>
      <c r="F295" s="224"/>
      <c r="G295" s="224"/>
      <c r="H295" s="224"/>
      <c r="I295" s="224"/>
      <c r="J295" s="215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</row>
    <row r="296" spans="1:29" ht="24" customHeight="1" x14ac:dyDescent="0.55000000000000004">
      <c r="A296" s="223"/>
      <c r="B296" s="7"/>
      <c r="C296" s="7"/>
      <c r="D296" s="7"/>
      <c r="E296" s="224"/>
      <c r="F296" s="224"/>
      <c r="G296" s="224"/>
      <c r="H296" s="224"/>
      <c r="I296" s="224"/>
      <c r="J296" s="215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</row>
    <row r="297" spans="1:29" ht="24" customHeight="1" x14ac:dyDescent="0.55000000000000004">
      <c r="A297" s="223"/>
      <c r="B297" s="7"/>
      <c r="C297" s="7"/>
      <c r="D297" s="7"/>
      <c r="E297" s="224"/>
      <c r="F297" s="224"/>
      <c r="G297" s="224"/>
      <c r="H297" s="224"/>
      <c r="I297" s="224"/>
      <c r="J297" s="215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</row>
    <row r="298" spans="1:29" ht="24" customHeight="1" x14ac:dyDescent="0.55000000000000004">
      <c r="A298" s="223"/>
      <c r="B298" s="7"/>
      <c r="C298" s="7"/>
      <c r="D298" s="7"/>
      <c r="E298" s="224"/>
      <c r="F298" s="224"/>
      <c r="G298" s="224"/>
      <c r="H298" s="224"/>
      <c r="I298" s="224"/>
      <c r="J298" s="215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</row>
    <row r="299" spans="1:29" ht="24" customHeight="1" x14ac:dyDescent="0.55000000000000004">
      <c r="A299" s="223"/>
      <c r="B299" s="7"/>
      <c r="C299" s="7"/>
      <c r="D299" s="7"/>
      <c r="E299" s="224"/>
      <c r="F299" s="224"/>
      <c r="G299" s="224"/>
      <c r="H299" s="224"/>
      <c r="I299" s="224"/>
      <c r="J299" s="215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</row>
    <row r="300" spans="1:29" ht="24" customHeight="1" x14ac:dyDescent="0.55000000000000004">
      <c r="A300" s="223"/>
      <c r="B300" s="7"/>
      <c r="C300" s="7"/>
      <c r="D300" s="7"/>
      <c r="E300" s="224"/>
      <c r="F300" s="224"/>
      <c r="G300" s="224"/>
      <c r="H300" s="224"/>
      <c r="I300" s="224"/>
      <c r="J300" s="215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</row>
    <row r="301" spans="1:29" ht="24" customHeight="1" x14ac:dyDescent="0.55000000000000004">
      <c r="A301" s="223"/>
      <c r="B301" s="7"/>
      <c r="C301" s="7"/>
      <c r="D301" s="7"/>
      <c r="E301" s="224"/>
      <c r="F301" s="224"/>
      <c r="G301" s="224"/>
      <c r="H301" s="224"/>
      <c r="I301" s="224"/>
      <c r="J301" s="215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</row>
    <row r="302" spans="1:29" ht="24" customHeight="1" x14ac:dyDescent="0.55000000000000004">
      <c r="A302" s="223"/>
      <c r="B302" s="7"/>
      <c r="C302" s="7"/>
      <c r="D302" s="7"/>
      <c r="E302" s="224"/>
      <c r="F302" s="224"/>
      <c r="G302" s="224"/>
      <c r="H302" s="224"/>
      <c r="I302" s="224"/>
      <c r="J302" s="215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</row>
    <row r="303" spans="1:29" ht="24" customHeight="1" x14ac:dyDescent="0.55000000000000004">
      <c r="A303" s="223"/>
      <c r="B303" s="7"/>
      <c r="C303" s="7"/>
      <c r="D303" s="7"/>
      <c r="E303" s="224"/>
      <c r="F303" s="224"/>
      <c r="G303" s="224"/>
      <c r="H303" s="224"/>
      <c r="I303" s="224"/>
      <c r="J303" s="215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</row>
    <row r="304" spans="1:29" ht="24" customHeight="1" x14ac:dyDescent="0.55000000000000004">
      <c r="A304" s="223"/>
      <c r="B304" s="7"/>
      <c r="C304" s="7"/>
      <c r="D304" s="7"/>
      <c r="E304" s="224"/>
      <c r="F304" s="224"/>
      <c r="G304" s="224"/>
      <c r="H304" s="224"/>
      <c r="I304" s="224"/>
      <c r="J304" s="215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</row>
    <row r="305" spans="1:29" ht="24" customHeight="1" x14ac:dyDescent="0.55000000000000004">
      <c r="A305" s="223"/>
      <c r="B305" s="7"/>
      <c r="C305" s="7"/>
      <c r="D305" s="7"/>
      <c r="E305" s="224"/>
      <c r="F305" s="224"/>
      <c r="G305" s="224"/>
      <c r="H305" s="224"/>
      <c r="I305" s="224"/>
      <c r="J305" s="215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</row>
    <row r="306" spans="1:29" ht="24" customHeight="1" x14ac:dyDescent="0.55000000000000004">
      <c r="A306" s="223"/>
      <c r="B306" s="7"/>
      <c r="C306" s="7"/>
      <c r="D306" s="7"/>
      <c r="E306" s="224"/>
      <c r="F306" s="224"/>
      <c r="G306" s="224"/>
      <c r="H306" s="224"/>
      <c r="I306" s="224"/>
      <c r="J306" s="215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</row>
    <row r="307" spans="1:29" ht="24" customHeight="1" x14ac:dyDescent="0.55000000000000004">
      <c r="A307" s="223"/>
      <c r="B307" s="7"/>
      <c r="C307" s="7"/>
      <c r="D307" s="7"/>
      <c r="E307" s="224"/>
      <c r="F307" s="224"/>
      <c r="G307" s="224"/>
      <c r="H307" s="224"/>
      <c r="I307" s="224"/>
      <c r="J307" s="215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</row>
    <row r="308" spans="1:29" ht="24" customHeight="1" x14ac:dyDescent="0.55000000000000004">
      <c r="A308" s="223"/>
      <c r="B308" s="7"/>
      <c r="C308" s="7"/>
      <c r="D308" s="7"/>
      <c r="E308" s="224"/>
      <c r="F308" s="224"/>
      <c r="G308" s="224"/>
      <c r="H308" s="224"/>
      <c r="I308" s="224"/>
      <c r="J308" s="215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</row>
    <row r="309" spans="1:29" ht="24" customHeight="1" x14ac:dyDescent="0.55000000000000004">
      <c r="A309" s="223"/>
      <c r="B309" s="7"/>
      <c r="C309" s="7"/>
      <c r="D309" s="7"/>
      <c r="E309" s="224"/>
      <c r="F309" s="224"/>
      <c r="G309" s="224"/>
      <c r="H309" s="224"/>
      <c r="I309" s="224"/>
      <c r="J309" s="215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</row>
    <row r="310" spans="1:29" ht="24" customHeight="1" x14ac:dyDescent="0.55000000000000004">
      <c r="A310" s="223"/>
      <c r="B310" s="7"/>
      <c r="C310" s="7"/>
      <c r="D310" s="7"/>
      <c r="E310" s="224"/>
      <c r="F310" s="224"/>
      <c r="G310" s="224"/>
      <c r="H310" s="224"/>
      <c r="I310" s="224"/>
      <c r="J310" s="215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</row>
    <row r="311" spans="1:29" ht="24" customHeight="1" x14ac:dyDescent="0.55000000000000004">
      <c r="A311" s="223"/>
      <c r="B311" s="7"/>
      <c r="C311" s="7"/>
      <c r="D311" s="7"/>
      <c r="E311" s="224"/>
      <c r="F311" s="224"/>
      <c r="G311" s="224"/>
      <c r="H311" s="224"/>
      <c r="I311" s="224"/>
      <c r="J311" s="215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</row>
    <row r="312" spans="1:29" ht="24" customHeight="1" x14ac:dyDescent="0.55000000000000004">
      <c r="A312" s="223"/>
      <c r="B312" s="7"/>
      <c r="C312" s="7"/>
      <c r="D312" s="7"/>
      <c r="E312" s="224"/>
      <c r="F312" s="224"/>
      <c r="G312" s="224"/>
      <c r="H312" s="224"/>
      <c r="I312" s="224"/>
      <c r="J312" s="215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</row>
    <row r="313" spans="1:29" ht="24" customHeight="1" x14ac:dyDescent="0.55000000000000004">
      <c r="A313" s="223"/>
      <c r="B313" s="7"/>
      <c r="C313" s="7"/>
      <c r="D313" s="7"/>
      <c r="E313" s="224"/>
      <c r="F313" s="224"/>
      <c r="G313" s="224"/>
      <c r="H313" s="224"/>
      <c r="I313" s="224"/>
      <c r="J313" s="215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</row>
    <row r="314" spans="1:29" ht="24" customHeight="1" x14ac:dyDescent="0.55000000000000004">
      <c r="A314" s="223"/>
      <c r="B314" s="7"/>
      <c r="C314" s="7"/>
      <c r="D314" s="7"/>
      <c r="E314" s="224"/>
      <c r="F314" s="224"/>
      <c r="G314" s="224"/>
      <c r="H314" s="224"/>
      <c r="I314" s="224"/>
      <c r="J314" s="215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</row>
    <row r="315" spans="1:29" ht="24" customHeight="1" x14ac:dyDescent="0.55000000000000004">
      <c r="A315" s="223"/>
      <c r="B315" s="7"/>
      <c r="C315" s="7"/>
      <c r="D315" s="7"/>
      <c r="E315" s="224"/>
      <c r="F315" s="224"/>
      <c r="G315" s="224"/>
      <c r="H315" s="224"/>
      <c r="I315" s="224"/>
      <c r="J315" s="215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</row>
    <row r="316" spans="1:29" ht="24" customHeight="1" x14ac:dyDescent="0.55000000000000004">
      <c r="A316" s="223"/>
      <c r="B316" s="7"/>
      <c r="C316" s="7"/>
      <c r="D316" s="7"/>
      <c r="E316" s="224"/>
      <c r="F316" s="224"/>
      <c r="G316" s="224"/>
      <c r="H316" s="224"/>
      <c r="I316" s="224"/>
      <c r="J316" s="215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</row>
    <row r="317" spans="1:29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215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:29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215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215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:29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215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:29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215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215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29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215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:29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215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:29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215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215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215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:29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215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:29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215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:29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215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:29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215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:29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215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:29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215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215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:29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215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29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215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:29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215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:29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215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:29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215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:29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215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:29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215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215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:29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215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:29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215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:29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215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:29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215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:29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215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:29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215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:29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215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215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:29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215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:29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215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:29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215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:29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215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:29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215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:29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215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:29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215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:29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215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215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:29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215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:29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215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:29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215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spans="1:29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215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:29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215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1:29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215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:29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215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:29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215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spans="1:29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215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1:29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215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spans="1:29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215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spans="1:29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215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spans="1:29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215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spans="1:29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215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spans="1:29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215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spans="1:29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215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spans="1:29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215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spans="1:29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215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spans="1:29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215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spans="1:29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215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spans="1:29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215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spans="1:29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215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spans="1:29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215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spans="1:29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215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spans="1:29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215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spans="1:29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215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spans="1:29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215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spans="1:29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215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spans="1:29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215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spans="1:29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215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:29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215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spans="1:29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215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:29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215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spans="1:29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215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spans="1:29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215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spans="1:29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215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spans="1:29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215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spans="1:29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215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spans="1:29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215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spans="1:29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215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spans="1:29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215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spans="1:29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215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spans="1:29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215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spans="1:29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215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spans="1:29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215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spans="1:29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215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spans="1:29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215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spans="1:29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215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spans="1:29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215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spans="1:29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215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spans="1:29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215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spans="1:29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215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spans="1:29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215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:29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215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215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spans="1:29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215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spans="1:29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215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spans="1:29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215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:29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215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spans="1:29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215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spans="1:29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215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:29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215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spans="1:29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215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spans="1:29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215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:29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215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spans="1:29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215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:29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215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spans="1:29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215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spans="1:29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215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spans="1:29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215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:29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215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spans="1:29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215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spans="1:29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215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spans="1:29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215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spans="1:29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215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spans="1:29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215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spans="1:29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215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spans="1:29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215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spans="1:29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215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spans="1:29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215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spans="1:29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215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spans="1:29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215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spans="1:29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215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spans="1:29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215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spans="1:29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215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spans="1:29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215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spans="1:29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215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spans="1:29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215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spans="1:29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215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spans="1:29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215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spans="1:29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215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spans="1:29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215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spans="1:29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215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spans="1:29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215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spans="1:29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215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spans="1:29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215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spans="1:29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215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spans="1:29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215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1:29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215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:29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215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spans="1:29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215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spans="1:29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215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spans="1:29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215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spans="1:29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215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spans="1:29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215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spans="1:29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215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spans="1:29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215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spans="1:29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215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spans="1:29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215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spans="1:29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215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:29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215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spans="1:29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215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:29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215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spans="1:29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215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spans="1:29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215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spans="1:29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215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spans="1:29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215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spans="1:29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215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spans="1:29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215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spans="1:29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215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spans="1:29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215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spans="1:29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215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spans="1:29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215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spans="1:29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215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spans="1:29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215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spans="1:29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215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spans="1:29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215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spans="1:29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215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spans="1:29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215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spans="1:29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215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spans="1:29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215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spans="1:29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215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spans="1:29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215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spans="1:29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215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spans="1:29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215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spans="1:29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215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spans="1:29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215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spans="1:29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215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spans="1:29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215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spans="1:29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215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spans="1:29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215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spans="1:29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215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spans="1:29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215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spans="1:29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215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1:29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215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spans="1:29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215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spans="1:29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215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spans="1:29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215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spans="1:29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215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spans="1:29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215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spans="1:29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215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spans="1:29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215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spans="1:29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215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spans="1:29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215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spans="1:29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215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spans="1:29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215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spans="1:29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215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spans="1:29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215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spans="1:29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215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spans="1:29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215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spans="1:29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215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spans="1:29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215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spans="1:29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215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spans="1:29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215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spans="1:29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215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spans="1:29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215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spans="1:29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215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spans="1:29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215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spans="1:29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215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spans="1:29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215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spans="1:29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215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spans="1:29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215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:29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215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spans="1:29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215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:29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215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:29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215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spans="1:29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215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spans="1:29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215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spans="1:29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215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spans="1:29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215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spans="1:29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215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spans="1:29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215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:29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215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spans="1:29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215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spans="1:29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215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spans="1:29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215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:29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215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spans="1:29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215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spans="1:29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215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spans="1:29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215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spans="1:29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215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spans="1:29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215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spans="1:29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215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spans="1:29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215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:29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215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1:29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215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spans="1:29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215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spans="1:29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215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spans="1:29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215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spans="1:29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215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spans="1:29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215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spans="1:29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215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spans="1:29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215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spans="1:29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215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spans="1:29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215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spans="1:29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215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spans="1:29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215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spans="1:29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215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spans="1:29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215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spans="1:29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215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spans="1:29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215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spans="1:29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215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1:29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215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spans="1:29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215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spans="1:29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215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spans="1:29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215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spans="1:29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215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spans="1:29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215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spans="1:29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215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:29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215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spans="1:29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215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spans="1:29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215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:29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215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:29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215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:29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215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:29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215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:29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215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:29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215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:29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215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:29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215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:29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215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:29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215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spans="1:29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215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spans="1:29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215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spans="1:29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215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spans="1:29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215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spans="1:29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215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spans="1:29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215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spans="1:29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215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spans="1:29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215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spans="1:29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215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spans="1:29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215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:29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215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:29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215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:29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215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:29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215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:29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215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:29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215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:29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215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:29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215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:29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215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:29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215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:29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215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:29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215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:29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215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:29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215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:29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215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:29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215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:29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215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:29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215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:29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215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:29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215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:29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215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:29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215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:29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215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:29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215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:29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215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:29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215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:29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215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:29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215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:29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215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:29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215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:29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215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:29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215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:29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215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:29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215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:29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215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:29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215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:29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215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spans="1:29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215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spans="1:29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215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spans="1:29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215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spans="1:29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215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spans="1:29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215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spans="1:29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215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spans="1:29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215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spans="1:29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215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spans="1:29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215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spans="1:29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215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1:29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215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spans="1:29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215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spans="1:29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215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:29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215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:29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215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:29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215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:29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215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:29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215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:29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215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:29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215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:29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215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:29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215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:29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215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spans="1:29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215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spans="1:29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215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spans="1:29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215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spans="1:29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215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spans="1:29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215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spans="1:29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spans="1:29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spans="1:29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spans="1:29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spans="1:29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spans="1:29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spans="1:29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spans="1:29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spans="1:29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spans="1:29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spans="1:29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spans="1:29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spans="1:29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spans="1:29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spans="1:29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spans="1:29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spans="1:29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spans="1:29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:29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:29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:29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:29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:29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:29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:29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:29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:29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:29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spans="1:29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spans="1:29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spans="1:29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spans="1:29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spans="1:29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spans="1:29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spans="1:29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spans="1:29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spans="1:29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spans="1:29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spans="1:29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spans="1:29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spans="1:29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spans="1:29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spans="1:29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spans="1:29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spans="1:29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spans="1:29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spans="1:29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1:29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spans="1:29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spans="1:29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spans="1:29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:29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spans="1:29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spans="1:29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spans="1:29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spans="1:29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spans="1:29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spans="1:29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spans="1:29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spans="1:29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spans="1:29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spans="1:29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spans="1:29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:29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spans="1:29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spans="1:29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spans="1:29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spans="1:29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spans="1:29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spans="1:29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spans="1:29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spans="1:29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spans="1:29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spans="1:29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spans="1:29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spans="1:29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spans="1:29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spans="1:29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spans="1:29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spans="1:29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spans="1:29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spans="1:29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spans="1:29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spans="1:29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spans="1:29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:29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spans="1:29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spans="1:29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spans="1:29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1:29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spans="1:29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spans="1:29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spans="1:29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spans="1:29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spans="1:29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spans="1:29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spans="1:29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spans="1:29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spans="1:29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spans="1:29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spans="1:29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spans="1:29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spans="1:29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spans="1:29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spans="1:29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spans="1:29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spans="1:29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spans="1:29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spans="1:29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spans="1:29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spans="1:29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:29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spans="1:29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spans="1:29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spans="1:29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spans="1:29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spans="1:29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spans="1:29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spans="1:29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spans="1:29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spans="1:29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spans="1:29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spans="1:29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spans="1:29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spans="1:29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spans="1:29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spans="1:29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spans="1:29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spans="1:29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1:29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spans="1:29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spans="1:29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spans="1:29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spans="1:29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spans="1:29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spans="1:29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spans="1:29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spans="1:29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spans="1:29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spans="1:29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spans="1:29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spans="1:29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spans="1:29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spans="1:29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spans="1:29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spans="1:29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spans="1:29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spans="1:29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spans="1:29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spans="1:29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spans="1:29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spans="1:29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spans="1:29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spans="1:29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:29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spans="1:29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spans="1:29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spans="1:29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spans="1:29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spans="1:29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spans="1:29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spans="1:29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spans="1:29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spans="1:29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spans="1:29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spans="1:29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spans="1:29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spans="1:29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spans="1:29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spans="1:29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spans="1:29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spans="1:29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spans="1:29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spans="1:29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spans="1:29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spans="1:29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spans="1:29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spans="1:29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spans="1:29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spans="1:29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spans="1:29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spans="1:29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spans="1:29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spans="1:29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spans="1:29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spans="1:29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spans="1:29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spans="1:29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spans="1:29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spans="1:29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spans="1:29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spans="1:29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spans="1:29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spans="1:29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spans="1:29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spans="1:29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spans="1:29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spans="1:29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spans="1:29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spans="1:29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spans="1:29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spans="1:29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spans="1:29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spans="1:29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spans="1:29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spans="1:29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spans="1:29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spans="1:29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spans="1:29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spans="1:29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spans="1:29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spans="1:29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spans="1:29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spans="1:29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spans="1:29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spans="1:29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spans="1:29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spans="1:29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spans="1:29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spans="1:29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spans="1:29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spans="1:29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spans="1:29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spans="1:29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spans="1:29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spans="1:29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1:29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spans="1:29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spans="1:29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spans="1:29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spans="1:29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spans="1:29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spans="1:29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spans="1:29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spans="1:29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spans="1:29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spans="1:29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spans="1:29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spans="1:29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spans="1:29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spans="1:29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spans="1:29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spans="1:29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spans="1:29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spans="1:29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spans="1:29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spans="1:29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spans="1:29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spans="1:29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spans="1:29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spans="1:29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spans="1:29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spans="1:29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spans="1:29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spans="1:29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spans="1:29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spans="1:29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spans="1:29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spans="1:29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spans="1:29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spans="1:29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spans="1:29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spans="1:29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spans="1:29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spans="1:29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spans="1:29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spans="1:29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spans="1:29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spans="1:29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spans="1:29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spans="1:29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spans="1:29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spans="1:29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spans="1:29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spans="1:29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spans="1:29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spans="1:29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1:29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spans="1:29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spans="1:29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spans="1:29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spans="1:29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spans="1:29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spans="1:29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spans="1:29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spans="1:29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spans="1:29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spans="1:29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spans="1:29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spans="1:29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spans="1:29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spans="1:29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spans="1:29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spans="1:29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spans="1:29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spans="1:29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spans="1:29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spans="1:29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spans="1:29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spans="1:29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spans="1:29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spans="1:29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spans="1:29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spans="1:29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spans="1:29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spans="1:29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spans="1:29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spans="1:29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spans="1:29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spans="1:29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spans="1:29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 spans="1:29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 spans="1:29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 spans="1:29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 spans="1:29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 spans="1:29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 spans="1:29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 spans="1:29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 spans="1:29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 spans="1:29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 spans="1:29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 spans="1:29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 spans="1:29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 spans="1:29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  <row r="993" spans="1:29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</row>
    <row r="994" spans="1:29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</row>
    <row r="995" spans="1:29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</row>
    <row r="996" spans="1:29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</row>
    <row r="997" spans="1:29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</row>
    <row r="998" spans="1:29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</row>
    <row r="999" spans="1:29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</row>
    <row r="1000" spans="1:29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</row>
  </sheetData>
  <mergeCells count="16">
    <mergeCell ref="B95:C95"/>
    <mergeCell ref="B101:C101"/>
    <mergeCell ref="B109:C109"/>
    <mergeCell ref="B114:D114"/>
    <mergeCell ref="B71:C71"/>
    <mergeCell ref="B78:C78"/>
    <mergeCell ref="B81:C81"/>
    <mergeCell ref="B87:C87"/>
    <mergeCell ref="B92:C92"/>
    <mergeCell ref="B94:D94"/>
    <mergeCell ref="B5:C5"/>
    <mergeCell ref="B14:C14"/>
    <mergeCell ref="B31:C31"/>
    <mergeCell ref="B40:C40"/>
    <mergeCell ref="B51:C51"/>
    <mergeCell ref="B63:C63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I2:J2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1.1.4</vt:lpstr>
      <vt:lpstr>รายละเอียด 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2022-07-12T02:42:25Z</dcterms:created>
  <dcterms:modified xsi:type="dcterms:W3CDTF">2022-07-12T02:42:39Z</dcterms:modified>
</cp:coreProperties>
</file>